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5480" windowHeight="8895" tabRatio="748" activeTab="1"/>
  </bookViews>
  <sheets>
    <sheet name="Инструкция" sheetId="1" r:id="rId1"/>
    <sheet name="Формат тарифов" sheetId="2" r:id="rId2"/>
    <sheet name="Базовые модиф. (без страх)" sheetId="3" state="hidden" r:id="rId3"/>
    <sheet name="Базовые модиф (со страх)" sheetId="4" state="hidden" r:id="rId4"/>
    <sheet name="Гос. и спец. прогр." sheetId="5" state="hidden" r:id="rId5"/>
    <sheet name="РАСЧЕТ" sheetId="6" r:id="rId6"/>
    <sheet name="ГРАФИК" sheetId="7" r:id="rId7"/>
  </sheets>
  <definedNames>
    <definedName name="_xlnm.Print_Area" localSheetId="0">'Инструкция'!$A$1:$K$50</definedName>
    <definedName name="_xlnm.Print_Area" localSheetId="5">'РАСЧЕТ'!$A$1:$G$50</definedName>
  </definedNames>
  <calcPr fullCalcOnLoad="1"/>
</workbook>
</file>

<file path=xl/sharedStrings.xml><?xml version="1.0" encoding="utf-8"?>
<sst xmlns="http://schemas.openxmlformats.org/spreadsheetml/2006/main" count="1178" uniqueCount="264">
  <si>
    <t>мес.</t>
  </si>
  <si>
    <t>Сумма кредита</t>
  </si>
  <si>
    <t>Срок кредита</t>
  </si>
  <si>
    <t>% ставка (годовых)</t>
  </si>
  <si>
    <t>Дата оформления кредита</t>
  </si>
  <si>
    <t>Число месяца ежемес. платежа</t>
  </si>
  <si>
    <t>№</t>
  </si>
  <si>
    <t>Срок</t>
  </si>
  <si>
    <t>Кол-во дней</t>
  </si>
  <si>
    <t>Возврат основной суммы долга</t>
  </si>
  <si>
    <t>Возврат начисленных %</t>
  </si>
  <si>
    <t>С</t>
  </si>
  <si>
    <t>По</t>
  </si>
  <si>
    <t>Валюта кредита</t>
  </si>
  <si>
    <t>РУБЛИ РФ</t>
  </si>
  <si>
    <t>ДОЛЛАРЫ США</t>
  </si>
  <si>
    <t>ЕВРО</t>
  </si>
  <si>
    <t>ЕДИНОВРЕМЕННО</t>
  </si>
  <si>
    <t>ПЕРИОДИЧЕСКИ</t>
  </si>
  <si>
    <t>Условия предоставления продуктов автокредитования (базовые модификации)</t>
  </si>
  <si>
    <t>Продукты</t>
  </si>
  <si>
    <t>Группа клиентов</t>
  </si>
  <si>
    <t>Первонач. Взнос</t>
  </si>
  <si>
    <t>Минимальная стоимость автомобиля</t>
  </si>
  <si>
    <t>Подтверждение дохода</t>
  </si>
  <si>
    <r>
      <t>Диапазон сроков, мес.</t>
    </r>
    <r>
      <rPr>
        <b/>
        <vertAlign val="superscript"/>
        <sz val="10"/>
        <rFont val="PragmaticaCTT"/>
        <family val="2"/>
      </rPr>
      <t>1</t>
    </r>
  </si>
  <si>
    <t>Диапазон сумм (тыс.)</t>
  </si>
  <si>
    <t>Процентная ставка,  % годовых</t>
  </si>
  <si>
    <t>Комиссия за выдачу кредита</t>
  </si>
  <si>
    <r>
      <t>Срок кредита
37-60 мес.</t>
    </r>
    <r>
      <rPr>
        <b/>
        <vertAlign val="superscript"/>
        <sz val="10"/>
        <rFont val="PragmaticaCTT"/>
        <family val="2"/>
      </rPr>
      <t>1</t>
    </r>
  </si>
  <si>
    <t>Автоэкспресс-кредит на новые ТС</t>
  </si>
  <si>
    <t xml:space="preserve">ФЛ, КК 3 гр. </t>
  </si>
  <si>
    <t>RUR</t>
  </si>
  <si>
    <t>0%-9,99%</t>
  </si>
  <si>
    <t>без ограничений</t>
  </si>
  <si>
    <t>Не требуется</t>
  </si>
  <si>
    <t>6-60</t>
  </si>
  <si>
    <t>60 - 1 000</t>
  </si>
  <si>
    <t>6 000 руб.</t>
  </si>
  <si>
    <t>10%-29,99%</t>
  </si>
  <si>
    <t>30%-49,99%</t>
  </si>
  <si>
    <t>от 50%</t>
  </si>
  <si>
    <t>ДЗ, КК 1-2 гр., СБ</t>
  </si>
  <si>
    <t>Автостатус на новые ТС</t>
  </si>
  <si>
    <r>
      <t>300 тыс.руб.</t>
    </r>
    <r>
      <rPr>
        <vertAlign val="superscript"/>
        <sz val="10"/>
        <rFont val="PragmaticaCTT"/>
        <family val="2"/>
      </rPr>
      <t>2</t>
    </r>
  </si>
  <si>
    <t>60 - 1 500</t>
  </si>
  <si>
    <t>USD/EUR</t>
  </si>
  <si>
    <t>2 - 50</t>
  </si>
  <si>
    <t>200 USD/EUR</t>
  </si>
  <si>
    <t>Требуется</t>
  </si>
  <si>
    <t>60 -5 000</t>
  </si>
  <si>
    <t>2 - 170</t>
  </si>
  <si>
    <r>
      <t>1. при сумме кредита менее 1 500 тыс. руб.- не требуется</t>
    </r>
    <r>
      <rPr>
        <sz val="10"/>
        <rFont val="PragmaticaCTT"/>
        <family val="2"/>
      </rPr>
      <t xml:space="preserve">
2. при сумме кредита свыше 1 500 тыс. руб. - требуется</t>
    </r>
  </si>
  <si>
    <r>
      <t>1. при сумме кредита менее 50 тыс. USD/EUR- не требуется</t>
    </r>
    <r>
      <rPr>
        <sz val="10"/>
        <rFont val="PragmaticaCTT"/>
        <family val="2"/>
      </rPr>
      <t xml:space="preserve">
2. при сумме кредита свыше 50 тыс. USD/EUR - требуется</t>
    </r>
  </si>
  <si>
    <r>
      <t>Автоэкспресс-кредит на подержанные ТС</t>
    </r>
    <r>
      <rPr>
        <vertAlign val="superscript"/>
        <sz val="10"/>
        <rFont val="PragmaticaCTT"/>
        <family val="2"/>
      </rPr>
      <t>3</t>
    </r>
  </si>
  <si>
    <t>ФЛ, КК 3 гр.</t>
  </si>
  <si>
    <t>20%-29,99%</t>
  </si>
  <si>
    <t>60 - 600</t>
  </si>
  <si>
    <t>от 30%</t>
  </si>
  <si>
    <r>
      <t>Автоэкспресс-кредит на подержанные ТС
(на реализуемые залоговые ТС)</t>
    </r>
    <r>
      <rPr>
        <vertAlign val="superscript"/>
        <sz val="10"/>
        <rFont val="PragmaticaCTT"/>
        <family val="2"/>
      </rPr>
      <t>3</t>
    </r>
  </si>
  <si>
    <r>
      <t>Автостатус на подержанные ТС</t>
    </r>
    <r>
      <rPr>
        <vertAlign val="superscript"/>
        <sz val="10"/>
        <rFont val="PragmaticaCTT"/>
        <family val="2"/>
      </rPr>
      <t>3</t>
    </r>
  </si>
  <si>
    <t>300 тыс.руб.</t>
  </si>
  <si>
    <r>
      <t>1. при сумме кредита менее 600 тыс. руб., 20 тыс.  USD/EUR - не требуется</t>
    </r>
    <r>
      <rPr>
        <sz val="10"/>
        <rFont val="PragmaticaCTT"/>
        <family val="2"/>
      </rPr>
      <t xml:space="preserve">
2. при сумме кредита свыше 600 тыс. руб. 20 тыс.  USD/EUR - требуется</t>
    </r>
  </si>
  <si>
    <t xml:space="preserve">60 -3 000 </t>
  </si>
  <si>
    <t>USD, EUR</t>
  </si>
  <si>
    <t>2 - 100</t>
  </si>
  <si>
    <r>
      <t>Автостатус на подержанные ТС
(на реализуемые залоговые ТС)</t>
    </r>
    <r>
      <rPr>
        <vertAlign val="superscript"/>
        <sz val="10"/>
        <rFont val="PragmaticaCTT"/>
        <family val="2"/>
      </rPr>
      <t>3</t>
    </r>
  </si>
  <si>
    <r>
      <t>1. при сумме кредита менее 600 тыс. руб., 20 тыс.  USD/EUR - не требуется</t>
    </r>
    <r>
      <rPr>
        <sz val="10"/>
        <rFont val="PragmaticaCTT"/>
        <family val="2"/>
      </rPr>
      <t xml:space="preserve">
2. при сумме кредита свыше 600 тыс. руб., 20 тыс.  USD/EUR - требуется</t>
    </r>
  </si>
  <si>
    <r>
      <t>Автоэкспресс-кредит без страховки (на новые и подержанные ТС</t>
    </r>
    <r>
      <rPr>
        <vertAlign val="superscript"/>
        <sz val="10"/>
        <rFont val="PragmaticaCTT"/>
        <family val="2"/>
      </rPr>
      <t>3</t>
    </r>
    <r>
      <rPr>
        <sz val="10"/>
        <rFont val="PragmaticaCTT"/>
        <family val="2"/>
      </rPr>
      <t>)</t>
    </r>
  </si>
  <si>
    <t>60 - 500</t>
  </si>
  <si>
    <r>
      <t>1</t>
    </r>
    <r>
      <rPr>
        <sz val="10"/>
        <rFont val="Arial"/>
        <family val="2"/>
      </rPr>
      <t xml:space="preserve"> В рамках продукта "Автостатус" на новые ТС для КК 1-2 гр. при приобретении иностранного автомобиля стоимостью от 300 тыс.руб. (эквивалент в долларах США/евро) - срок кредита до 84 мес.</t>
    </r>
  </si>
  <si>
    <r>
      <t>2</t>
    </r>
    <r>
      <rPr>
        <sz val="10"/>
        <rFont val="Arial"/>
        <family val="2"/>
      </rPr>
      <t xml:space="preserve"> В автосалонах компании "КВИНГРУП" - без ограничений.</t>
    </r>
  </si>
  <si>
    <r>
      <t>3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Максимальный возраст автомобиля на момент окончания срока кредита не должен превышать: 
8 полных лет для ТС иностранного производства (для ДТУ, УСТУ, ОО "Калининградский" Северо-Западного филиала, Оренбургского и Прикамского филиалов - не более 12 полных лет), 5 полных лет для ТС российского производства </t>
    </r>
  </si>
  <si>
    <r>
      <t xml:space="preserve">Примечание: </t>
    </r>
    <r>
      <rPr>
        <sz val="10"/>
        <rFont val="Arial"/>
        <family val="2"/>
      </rPr>
      <t xml:space="preserve">
- Оплата страховых премий за счет кредитных средств возможна при первоначальном взносе не менее 10% по автокредитам на новые ТС, при первоначальном взносе не менее 20% по подержанным ТС.
- В рамках программы "ЛАДА-ФИНАНС" минимальный первоначальный взнос - 15%, валюта кредита - рубли.</t>
    </r>
  </si>
  <si>
    <r>
      <t>Список сокращений</t>
    </r>
    <r>
      <rPr>
        <sz val="10"/>
        <rFont val="Arial"/>
        <family val="2"/>
      </rPr>
      <t>: ФЛ - физические лица "с улицы", ДЗ - добросовестные заемщики, КК 1 - 3 гр. - сотрудники предприятий -корпоративных клиентов 1-3 групп, СБ - сотрудники Банка</t>
    </r>
  </si>
  <si>
    <t>Руководители предприятий-корпоративных клиентов 2 гр. кредитуются на условиях КК 1 гр., Руководители предприятий-корпоративных клиентов 3 гр. кредитуются на условиях КК 2 гр.</t>
  </si>
  <si>
    <t>Условия предоставления продуктов автокредитования со страхованием "Жизни и здоровья" клиента (базовые модификации)</t>
  </si>
  <si>
    <t>Автоэкспресс-кредит на новые ТС
со страхованием "Жизни и здоровья" клиента</t>
  </si>
  <si>
    <t>Автостатус на новые ТС со страхованием "Жизни и здоровья" клиента</t>
  </si>
  <si>
    <t>1. при сумме кредита менее 1 500 тыс. руб.- не требуется
2. при сумме кредита свыше 1 500 тыс. руб. - требуется</t>
  </si>
  <si>
    <t>1. при сумме кредита менее 50 тыс. USD/EUR- не требуется
2. при сумме кредита свыше 50 тыс. USD/EUR - требуется</t>
  </si>
  <si>
    <r>
      <t>Автоэкспресс-кредит на подержанные ТС со страхованием "Жизни и здоровья" клиента</t>
    </r>
    <r>
      <rPr>
        <vertAlign val="superscript"/>
        <sz val="10"/>
        <rFont val="PragmaticaCTT"/>
        <family val="2"/>
      </rPr>
      <t>3</t>
    </r>
  </si>
  <si>
    <r>
      <t>Автоэкспресс-кредит на подержанные ТС со страхованием "Жизни и здоровья" клиента
(на реализуемые залоговые ТС)</t>
    </r>
    <r>
      <rPr>
        <vertAlign val="superscript"/>
        <sz val="10"/>
        <rFont val="PragmaticaCTT"/>
        <family val="2"/>
      </rPr>
      <t>3</t>
    </r>
  </si>
  <si>
    <r>
      <t>Автостатус на подержанные ТС со страхованием "Жизни и здоровья" клиента</t>
    </r>
    <r>
      <rPr>
        <vertAlign val="superscript"/>
        <sz val="10"/>
        <rFont val="PragmaticaCTT"/>
        <family val="2"/>
      </rPr>
      <t xml:space="preserve">3 </t>
    </r>
  </si>
  <si>
    <t>1. при сумме кредита менее 600 тыс. руб., 20 тыс.  USD/EUR - не требуется
2. при сумме кредита свыше 600 тыс. руб. 20 тыс.  USD/EUR - требуется</t>
  </si>
  <si>
    <r>
      <t>Автостатус на подержанные ТС со страхованием "Жизни и здоровья" клиента
(на реализуемые залоговые ТС)</t>
    </r>
    <r>
      <rPr>
        <vertAlign val="superscript"/>
        <sz val="10"/>
        <rFont val="PragmaticaCTT"/>
        <family val="2"/>
      </rPr>
      <t>3</t>
    </r>
  </si>
  <si>
    <t>1. при сумме кредита менее 600 тыс. руб., 20 тыс.  USD/EUR - не требуется
2. при сумме кредита свыше 600 тыс. руб., 20 тыс.  USD/EUR - требуется</t>
  </si>
  <si>
    <r>
      <t xml:space="preserve">Примечание: </t>
    </r>
    <r>
      <rPr>
        <sz val="10"/>
        <rFont val="Arial"/>
        <family val="2"/>
      </rPr>
      <t xml:space="preserve">
- Оплата страховых премий за счет кредитных средств возможна при первоначальном взносе не менее 10% по автокредитам на новые ТС, при первоначальном взносе не менее 20% по подержанным ТС.
- Модификация продукта со страхованием "Жизни и здоровья" клиента не распространяется на программу "ЛАДА-ФИНАНС".</t>
    </r>
  </si>
  <si>
    <r>
      <t>Первонач. Взнос</t>
    </r>
    <r>
      <rPr>
        <b/>
        <vertAlign val="superscript"/>
        <sz val="10"/>
        <rFont val="PragmaticaCTT"/>
        <family val="2"/>
      </rPr>
      <t>1</t>
    </r>
  </si>
  <si>
    <r>
      <t>Диапазон сроков, мес.</t>
    </r>
    <r>
      <rPr>
        <b/>
        <vertAlign val="superscript"/>
        <sz val="10"/>
        <rFont val="PragmaticaCTT"/>
        <family val="2"/>
      </rPr>
      <t>2</t>
    </r>
  </si>
  <si>
    <r>
      <t>Срок кредита
37-60 мес.</t>
    </r>
    <r>
      <rPr>
        <b/>
        <vertAlign val="superscript"/>
        <sz val="10"/>
        <rFont val="PragmaticaCTT"/>
        <family val="2"/>
      </rPr>
      <t>2</t>
    </r>
  </si>
  <si>
    <r>
      <t>300 000 руб.</t>
    </r>
    <r>
      <rPr>
        <vertAlign val="superscript"/>
        <sz val="10"/>
        <rFont val="PragmaticaCTT"/>
        <family val="2"/>
      </rPr>
      <t>3</t>
    </r>
  </si>
  <si>
    <t>Автоэкспресс-кредит на новые ТС
ГОС. ПРОГРАММА</t>
  </si>
  <si>
    <t>15%-29,99%</t>
  </si>
  <si>
    <t>6-36</t>
  </si>
  <si>
    <t>60 - 510</t>
  </si>
  <si>
    <t>-</t>
  </si>
  <si>
    <t>60 - 420</t>
  </si>
  <si>
    <t>60 -300</t>
  </si>
  <si>
    <t>Автостатус на новые ТС
ГОС. ПРОГРАММА</t>
  </si>
  <si>
    <t>Автоэкспресс-кредит на новые ТС
ГОС. ПРОГРАММА УТИЛИЗАЦИИ</t>
  </si>
  <si>
    <t>Автостатус на новые ТС
ГОС. ПРОГРАММА УТИЛИЗАЦИИ</t>
  </si>
  <si>
    <r>
      <t>Автоэкспресс-кредит на подержанные ТС</t>
    </r>
    <r>
      <rPr>
        <vertAlign val="superscript"/>
        <sz val="10"/>
        <rFont val="PragmaticaCTT"/>
        <family val="2"/>
      </rPr>
      <t>4</t>
    </r>
  </si>
  <si>
    <r>
      <t>Автоэкспресс-кредит на подержанные ТС
(на реализуемые залоговые ТС)</t>
    </r>
    <r>
      <rPr>
        <vertAlign val="superscript"/>
        <sz val="10"/>
        <rFont val="PragmaticaCTT"/>
        <family val="2"/>
      </rPr>
      <t>4</t>
    </r>
  </si>
  <si>
    <r>
      <t>Автостатус на подержанные ТС</t>
    </r>
    <r>
      <rPr>
        <vertAlign val="superscript"/>
        <sz val="10"/>
        <rFont val="PragmaticaCTT"/>
        <family val="2"/>
      </rPr>
      <t>4</t>
    </r>
  </si>
  <si>
    <t>300 000 руб.</t>
  </si>
  <si>
    <r>
      <t>Автостатус на подержанные ТС
(на реализуемые залоговые ТС)</t>
    </r>
    <r>
      <rPr>
        <vertAlign val="superscript"/>
        <sz val="10"/>
        <rFont val="PragmaticaCTT"/>
        <family val="2"/>
      </rPr>
      <t>4</t>
    </r>
  </si>
  <si>
    <r>
      <t>Автоэкспресс-кредит без страховки (на новые и подержанные ТС</t>
    </r>
    <r>
      <rPr>
        <vertAlign val="superscript"/>
        <sz val="10"/>
        <rFont val="PragmaticaCTT"/>
        <family val="2"/>
      </rPr>
      <t>4</t>
    </r>
    <r>
      <rPr>
        <sz val="10"/>
        <rFont val="PragmaticaCTT"/>
        <family val="2"/>
      </rPr>
      <t>)</t>
    </r>
  </si>
  <si>
    <t>Автоэкспресс-кредит на новые ТС
специальная программа с автодилерами</t>
  </si>
  <si>
    <t>Автостатус на новые ТС
специальная программа с автодилерами</t>
  </si>
  <si>
    <t>Тип автомобиля</t>
  </si>
  <si>
    <t>НОВЫЙ</t>
  </si>
  <si>
    <t>ПОДЕРЖАННЫЙ</t>
  </si>
  <si>
    <t>Программа кредитования</t>
  </si>
  <si>
    <t>АВТОСТАТУС</t>
  </si>
  <si>
    <t>АВТОЭКСПРЕСС-КРЕДИТ</t>
  </si>
  <si>
    <t>АВТОЭКСПРЕСС-КРЕДИТ БЕЗ СТРАХОВКИ</t>
  </si>
  <si>
    <t>Модификация программы</t>
  </si>
  <si>
    <t>БАЗОВАЯ</t>
  </si>
  <si>
    <t>Срок кредита, мес.</t>
  </si>
  <si>
    <t>Делитель K</t>
  </si>
  <si>
    <t>Сумма аннуитета</t>
  </si>
  <si>
    <t xml:space="preserve">Кол-во дней до конца месяца от начала периода </t>
  </si>
  <si>
    <t>Кол-во дней в соответствующем году</t>
  </si>
  <si>
    <t>Сумма процентов за период</t>
  </si>
  <si>
    <t xml:space="preserve">Кол-во дней от начала месяца до конца периода </t>
  </si>
  <si>
    <t>% ставка за период</t>
  </si>
  <si>
    <t>Коэффициенты выплат</t>
  </si>
  <si>
    <t>СУММА ПРОЦЕНТОВ</t>
  </si>
  <si>
    <t>Ежемесячный платеж</t>
  </si>
  <si>
    <t>ИТОГО</t>
  </si>
  <si>
    <t>Страхование ЖИЗНИ и ЗДОРОВЬЯ</t>
  </si>
  <si>
    <t>да</t>
  </si>
  <si>
    <t>Тип клиента</t>
  </si>
  <si>
    <t>ФИЗИЧЕСКИЕ ЛИЦА</t>
  </si>
  <si>
    <t>ЛЬГОТНЫЕ КАТЕГОРИИ</t>
  </si>
  <si>
    <t>Число месяца ежемесячного платежа</t>
  </si>
  <si>
    <t>Р Е З У Л Ь Т А Т Ы   Р А С Ч Е Т А</t>
  </si>
  <si>
    <t>Первоначальный взнос (в % от стоимости автомобиля)</t>
  </si>
  <si>
    <t>% ставка, годовых</t>
  </si>
  <si>
    <t>Оплата страховых премий</t>
  </si>
  <si>
    <t>И С Х О Д Н Ы Е   Д А Н Н Ы Е</t>
  </si>
  <si>
    <t>Страхование ДСАГО</t>
  </si>
  <si>
    <t xml:space="preserve">    Способ оплаты страховой премии по ОСАГО</t>
  </si>
  <si>
    <t xml:space="preserve">Ежемесячный платеж:  </t>
  </si>
  <si>
    <t>ФЛ</t>
  </si>
  <si>
    <t>ЛЬГ</t>
  </si>
  <si>
    <t>ФЛ РУБ</t>
  </si>
  <si>
    <t>ФЛ ВАЛ</t>
  </si>
  <si>
    <t>ЛЬГ РУБ</t>
  </si>
  <si>
    <t>ЛЬГ ВАЛ</t>
  </si>
  <si>
    <t>Н/Д</t>
  </si>
  <si>
    <t>П/Д</t>
  </si>
  <si>
    <t xml:space="preserve">ФЛ ВАЛ </t>
  </si>
  <si>
    <t>Взнос</t>
  </si>
  <si>
    <t>П/Н дох.</t>
  </si>
  <si>
    <t>Категория</t>
  </si>
  <si>
    <t>Продукт</t>
  </si>
  <si>
    <t>Валюта</t>
  </si>
  <si>
    <t>ДЛЯ ФОРМАТА С КОМИССИЕЙ</t>
  </si>
  <si>
    <t>ДЛЯ ФОРМАТА БЕЗ КОМИССИИ</t>
  </si>
  <si>
    <t xml:space="preserve">ФЛ </t>
  </si>
  <si>
    <t>Примечание.</t>
  </si>
  <si>
    <t>публичной офертой и уточняются на сделке в Банке.</t>
  </si>
  <si>
    <t xml:space="preserve">Расчеты по кредиту являются предварительными, не являются </t>
  </si>
  <si>
    <t>Данный калькулятор предназначен для предварительных расчетов параметров кредита по программам</t>
  </si>
  <si>
    <t>взимание единовременной комиссии за выдачу кредита.</t>
  </si>
  <si>
    <r>
      <t>Формат "</t>
    </r>
    <r>
      <rPr>
        <b/>
        <i/>
        <sz val="10"/>
        <rFont val="PragmaticaCTT"/>
        <family val="2"/>
      </rPr>
      <t>ставка без комиссий</t>
    </r>
    <r>
      <rPr>
        <i/>
        <sz val="10"/>
        <rFont val="PragmaticaCTT"/>
        <family val="2"/>
      </rPr>
      <t>" - формат ценовых параметров</t>
    </r>
  </si>
  <si>
    <t xml:space="preserve">по продуктам автокредитования, не предусматривающий </t>
  </si>
  <si>
    <t xml:space="preserve">     Использовать формат "ставка без комиссий"</t>
  </si>
  <si>
    <t>кредитования ОАО АКБ "РОСБАНК" на приобретение автомобилей в ходе оказания клиентам консультаций.</t>
  </si>
  <si>
    <t>первоначального взноса и указать параметры страхования рисков, предусмотренных условиями той или иной</t>
  </si>
  <si>
    <t>В процессе выбора тех или иных вариантов / ввода исходных данных производятся автоматические</t>
  </si>
  <si>
    <t xml:space="preserve"> - сумма кредита;</t>
  </si>
  <si>
    <t xml:space="preserve"> - сумма ежемесячного платежа.</t>
  </si>
  <si>
    <t>Также, в качестве справочной информации, будут автоматически рассчитаны первоначальный взнос</t>
  </si>
  <si>
    <t>(в процентах от стоимости автомобиля) и страховые премии по рискам "КАСКО" и "ЖИЗНЬ и ЗДОРОВЬЕ"</t>
  </si>
  <si>
    <t>(в случае если соответствующие риски страхуются).</t>
  </si>
  <si>
    <t xml:space="preserve"> - комиссия за выдачу кредита (если предусмотрена тарифами Банка);</t>
  </si>
  <si>
    <t xml:space="preserve">Также необходимо выбрать тип клиента, указать, подтверждаются ли доходы клиента, а также указать срок </t>
  </si>
  <si>
    <t xml:space="preserve">На указанном листе необходимо выбрать валюту кредита, тип приобретаемого автомобиля, кредитную </t>
  </si>
  <si>
    <r>
      <t>Основная работа с калькулятором производится на листе "</t>
    </r>
    <r>
      <rPr>
        <b/>
        <sz val="10"/>
        <rFont val="PragmaticaCTT"/>
        <family val="2"/>
      </rPr>
      <t>РАСЧЕТ</t>
    </r>
    <r>
      <rPr>
        <sz val="10"/>
        <rFont val="PragmaticaCTT"/>
        <family val="0"/>
      </rPr>
      <t>", в разделе "</t>
    </r>
    <r>
      <rPr>
        <i/>
        <sz val="10"/>
        <rFont val="PragmaticaCTT"/>
        <family val="2"/>
      </rPr>
      <t>ИСХОДНЫЕ ДАННЫЕ</t>
    </r>
    <r>
      <rPr>
        <sz val="10"/>
        <rFont val="PragmaticaCTT"/>
        <family val="0"/>
      </rPr>
      <t>".</t>
    </r>
  </si>
  <si>
    <t>ИНСТРУКЦИЯ ПО ИСПОЛЬЗОВАНИЮ КАЛЬКУЛЯТОРА</t>
  </si>
  <si>
    <r>
      <t>После проведения расчетов содержимое листа "</t>
    </r>
    <r>
      <rPr>
        <b/>
        <sz val="10"/>
        <rFont val="PragmaticaCTT"/>
        <family val="2"/>
      </rPr>
      <t>РАСЧЕТ</t>
    </r>
    <r>
      <rPr>
        <sz val="10"/>
        <rFont val="PragmaticaCTT"/>
        <family val="0"/>
      </rPr>
      <t xml:space="preserve">" можно вывести на печать и предоставить </t>
    </r>
  </si>
  <si>
    <r>
      <t>предварительный расчет графика платежей по погашению кредита, который отображается на листе "</t>
    </r>
    <r>
      <rPr>
        <b/>
        <sz val="10"/>
        <rFont val="PragmaticaCTT"/>
        <family val="2"/>
      </rPr>
      <t>ГРАФИК</t>
    </r>
    <r>
      <rPr>
        <sz val="10"/>
        <rFont val="PragmaticaCTT"/>
        <family val="0"/>
      </rPr>
      <t>".</t>
    </r>
  </si>
  <si>
    <r>
      <t>Содержимое листа "</t>
    </r>
    <r>
      <rPr>
        <b/>
        <sz val="10"/>
        <rFont val="PragmaticaCTT"/>
        <family val="2"/>
      </rPr>
      <t>ГРАФИК</t>
    </r>
    <r>
      <rPr>
        <sz val="10"/>
        <rFont val="PragmaticaCTT"/>
        <family val="0"/>
      </rPr>
      <t>" также можно вывести на печать и вручить клиенту.</t>
    </r>
  </si>
  <si>
    <t xml:space="preserve">кредитования в месяцах, дату оформления кредита и число месяца ежемесячного платежа. При этом дата </t>
  </si>
  <si>
    <t>оформления кредита должна быть задана в формате "ДД.ММ.ГГГГ". В качестве даты оформления кредита можно</t>
  </si>
  <si>
    <t xml:space="preserve"> - процентная ставка по кредиту;</t>
  </si>
  <si>
    <t>Расчетный график платежей по погашению кредита</t>
  </si>
  <si>
    <r>
      <t>Примечание</t>
    </r>
    <r>
      <rPr>
        <i/>
        <sz val="11"/>
        <color indexed="12"/>
        <rFont val="Arial"/>
        <family val="2"/>
      </rPr>
      <t>. Расчеты по кредиту являются предварительными, не являются публичной офертой и уточняются на сделке в Банке.</t>
    </r>
  </si>
  <si>
    <t xml:space="preserve">клиенту. </t>
  </si>
  <si>
    <t>В процессе расчета параметров кредита в данном калькуляторе автоматически производится</t>
  </si>
  <si>
    <t xml:space="preserve">программу  ОАО  АКБ  "РОСБАНК"  и  ее  модификацию,  а  также  задать  стоимость  автомобиля,  сумму </t>
  </si>
  <si>
    <r>
      <t>задать текущую дату, используя для удобства встроенную в лист "</t>
    </r>
    <r>
      <rPr>
        <b/>
        <sz val="10"/>
        <rFont val="PragmaticaCTT"/>
        <family val="2"/>
      </rPr>
      <t>РАСЧЕТ</t>
    </r>
    <r>
      <rPr>
        <sz val="10"/>
        <rFont val="PragmaticaCTT"/>
        <family val="0"/>
      </rPr>
      <t>" кнопку "</t>
    </r>
    <r>
      <rPr>
        <b/>
        <sz val="10"/>
        <rFont val="PragmaticaCTT"/>
        <family val="2"/>
      </rPr>
      <t>&lt;&lt; Сегодня</t>
    </r>
    <r>
      <rPr>
        <sz val="10"/>
        <rFont val="PragmaticaCTT"/>
        <family val="0"/>
      </rPr>
      <t>".</t>
    </r>
  </si>
  <si>
    <t>Все данные, задаваемые вручную, вводятся в ячейки, выделенные светло-голубой заливкой. К некоторым</t>
  </si>
  <si>
    <t>ячейкам имеются "всплывающие" подсказки по порядку их заполнения.</t>
  </si>
  <si>
    <t>проверки на предмет корректности указываемой информации (соответствия условиям кредитования,</t>
  </si>
  <si>
    <t xml:space="preserve">действующим в ОАО АКБ "РОСБАНК").  В случае если какой-либо параметр задается неверно,  напротив </t>
  </si>
  <si>
    <r>
      <t>Все рассчитанные параметры отображаются в разделе "</t>
    </r>
    <r>
      <rPr>
        <i/>
        <sz val="10"/>
        <rFont val="PragmaticaCTT"/>
        <family val="2"/>
      </rPr>
      <t>РЕЗУЛЬТАТЫ РАСЧЕТА</t>
    </r>
    <r>
      <rPr>
        <sz val="10"/>
        <rFont val="PragmaticaCTT"/>
        <family val="0"/>
      </rPr>
      <t>".</t>
    </r>
  </si>
  <si>
    <t>кредитной программы (ее модификации):</t>
  </si>
  <si>
    <t xml:space="preserve"> - страхование приобретаемого автомобиля (КАСКО);</t>
  </si>
  <si>
    <t xml:space="preserve"> - добровольное страхование автогражданской ответственности (ДСАГО);</t>
  </si>
  <si>
    <t xml:space="preserve"> - обязательное страхование автогражданской ответственности (ОСАГО);</t>
  </si>
  <si>
    <t xml:space="preserve"> - страхование жизни и здоровья клиента.</t>
  </si>
  <si>
    <t>соответствующего поля (правее него) появляется надпись красного цвета, предписывающая внести в данное</t>
  </si>
  <si>
    <t>будет невозможен.</t>
  </si>
  <si>
    <t>поле необходимые исправления. До момента внесения требуемых исправлений расчет параметров кредита</t>
  </si>
  <si>
    <t>рассчитаны параметры кредита:</t>
  </si>
  <si>
    <t>По окончании ввода всех исходных данных, если они были введены корректно, будут автоматически</t>
  </si>
  <si>
    <t>Остаток основного долга</t>
  </si>
  <si>
    <t>НАСТРОЙКА ФОРМАТА ЦЕНОВЫХ ПАРАМЕТРОВ</t>
  </si>
  <si>
    <t>При этом в случае, если какой-либо исходный параметр определяется в валюте, отличной от валюты</t>
  </si>
  <si>
    <t>перерасчета соответствующей суммы по курсу ОАО АКБ "РОСБАНК".</t>
  </si>
  <si>
    <r>
      <t xml:space="preserve">кредита, в соответствующем поле необходимо указывать его размер </t>
    </r>
    <r>
      <rPr>
        <u val="single"/>
        <sz val="10"/>
        <rFont val="PragmaticaCTT"/>
        <family val="2"/>
      </rPr>
      <t>в валюте кредита</t>
    </r>
    <r>
      <rPr>
        <sz val="10"/>
        <rFont val="PragmaticaCTT"/>
        <family val="0"/>
      </rPr>
      <t xml:space="preserve">, полученный от </t>
    </r>
  </si>
  <si>
    <t>наличные</t>
  </si>
  <si>
    <t xml:space="preserve">ФЛ, КК 1-3 гр., ДЗ, СБ </t>
  </si>
  <si>
    <t>от 40%</t>
  </si>
  <si>
    <t>6-12</t>
  </si>
  <si>
    <t>60 - 5 000</t>
  </si>
  <si>
    <r>
      <t xml:space="preserve">1 </t>
    </r>
    <r>
      <rPr>
        <sz val="11"/>
        <rFont val="Arial"/>
        <family val="2"/>
      </rPr>
      <t xml:space="preserve">В рамках продукта "Автостатус" на новые ТС и "KIA Finance" на новые ТС для КК 1-2 гр. - срок кредита до 84 мес:
- при приобретении иностранного автомобиля стоимостью от 450 тыс.руб. (эквивалент в долларах США/евро) в рамках программы "SOLLERS-CREDIT",
- при приобретении иностранного автомобиля стоимостью от 300 тыс.руб. (эквивалент в долларах США/евро) для других модификаций продукта. 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</si>
  <si>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Договор страхования жизни и здоровья в обязательном порядке должен содержать следующее условие: при наступлении события, имеющего признаки страхового, страховой компанией производится авансовая выплата в размере 80% от страховой суммы до момента принятия решения о страховой выплате по страховым случаям "Смерть от несчастного случая или болезни" или "Инвалидность 1 или 2 группы от несчастного случая или болезни".</t>
    </r>
  </si>
  <si>
    <r>
      <t>4</t>
    </r>
    <r>
      <rPr>
        <sz val="11"/>
        <rFont val="Arial"/>
        <family val="2"/>
      </rPr>
      <t xml:space="preserve"> В автосалонах компании "КВИНГРУП" - без ограничений.</t>
    </r>
  </si>
  <si>
    <r>
      <rPr>
        <vertAlign val="superscript"/>
        <sz val="11"/>
        <rFont val="Arial"/>
        <family val="2"/>
      </rPr>
      <t xml:space="preserve">5 </t>
    </r>
    <r>
      <rPr>
        <sz val="11"/>
        <rFont val="Arial"/>
        <family val="2"/>
      </rPr>
      <t>В рамках проекта по продаже автокредитов Банка через УРМ Русфинанс Банка данная модификация продукта не реализуется.</t>
    </r>
  </si>
  <si>
    <r>
      <t xml:space="preserve">6  </t>
    </r>
    <r>
      <rPr>
        <sz val="11"/>
        <rFont val="Arial"/>
        <family val="2"/>
      </rPr>
      <t>В рамках проекта по продаже автокредитов Банка через УРМ Русфинанс Банка минимальная сумма кредита составляет 600 тыс.руб./20 тыс.долл. США, евро.</t>
    </r>
  </si>
  <si>
    <r>
      <rPr>
        <vertAlign val="superscript"/>
        <sz val="12"/>
        <rFont val="Arial"/>
        <family val="2"/>
      </rPr>
      <t>7</t>
    </r>
    <r>
      <rPr>
        <sz val="12"/>
        <rFont val="Arial"/>
        <family val="2"/>
      </rPr>
      <t xml:space="preserve"> </t>
    </r>
    <r>
      <rPr>
        <sz val="11"/>
        <rFont val="Arial"/>
        <family val="2"/>
      </rPr>
      <t>Не реализуется в Западно-Сибирском филиале, Прикамском филиале и операционных офисах "Новгородский-Центральный", "Новгородский", "Старая Русса", "Валдай", "Боровичи" Северо-Западного филиала и  операционных офисов "Чувашский", "Шупашкар" Нижегородского филиала.</t>
    </r>
  </si>
  <si>
    <r>
      <t>8</t>
    </r>
    <r>
      <rPr>
        <sz val="11"/>
        <rFont val="Arial"/>
        <family val="2"/>
      </rPr>
      <t xml:space="preserve"> В ДТУ, Московском,  Волгоградском, Казанском, Нижегородском, Самарском, Саратовском, Уфимском филиалах и OO "Астраханский" Ростовского филиала от 450 000 рублей) (без учета стоимости доп.оборудования). </t>
    </r>
  </si>
  <si>
    <r>
      <t xml:space="preserve">9  </t>
    </r>
    <r>
      <rPr>
        <sz val="11"/>
        <rFont val="Arial"/>
        <family val="2"/>
      </rPr>
      <t>В рамках проекта по продаже автокредитов Банка через УРМ Русфинанс Банка для физических лиц и корпоративных клиентов 3 группы минимальная сумма кредита составляет 600 тыс.руб.</t>
    </r>
  </si>
  <si>
    <r>
      <t xml:space="preserve">10 </t>
    </r>
    <r>
      <rPr>
        <sz val="11"/>
        <color indexed="10"/>
        <rFont val="Arial"/>
        <family val="2"/>
      </rPr>
      <t>Акция действует в период 01.09.2011-30.11.2011г. при приобретении ТС иностранного производства.</t>
    </r>
  </si>
  <si>
    <r>
      <t xml:space="preserve">Примечание: </t>
    </r>
    <r>
      <rPr>
        <sz val="11"/>
        <rFont val="Arial"/>
        <family val="2"/>
      </rPr>
      <t xml:space="preserve">
- Оплата страховых премий за счет кредитных средств возможна при первоначальном взносе не менее 10%. По продуктам автокредитования в рамках государственной программы оплата страховых премий только за счет собственных средств.
- В рамках программы "SOLLERS-CREDIT" оплата страховых премий за счет кредитных средств возможна при ПВ от 30%.
- Процентная ставка по кредиту в рамках государственной программы субсидирования автокредитов отличается от процентной ставки по стандартным продуктам Банка на 2/3 ставки рефинансирования ЦБ РФ (при ставке рефинансирования 8,25% дисконт составляет 5,5%). </t>
    </r>
  </si>
  <si>
    <t>- В рамках проекта по продаже автокредитов Банка через УРМ Русфинанс Банка реализуется только продукт "Автостатус", при этом в рамках продукта "Автостатус" на приобретение новых ТС для физических лиц и корпоративных клиентов 3 группы в случаях, не требующих подтверждения дохода, минимальная сумма кредита составляет 600 тыс.руб./ 20 тыс.долл.США, евро.</t>
  </si>
  <si>
    <t xml:space="preserve">- Временное ограничение: оформление договора страхования жизни и здоровья клиента возможно только по кредитам, выдаваемым в рублях.  </t>
  </si>
  <si>
    <r>
      <t>4</t>
    </r>
    <r>
      <rPr>
        <sz val="11"/>
        <rFont val="Arial"/>
        <family val="2"/>
      </rPr>
      <t xml:space="preserve"> Максимальный возраст автомобиля на момент окончания срока кредита не должен превышать: 5 полных лет для ТС отечественного производства и 8 полных лет для ТС иностранного производства (для  УСТУ, ДТУ, ОО "Калининградский" Северо-Западного филиала, Оренбургского, Прикамского и Удмуртского филиалов - не более 12 полных лет)</t>
    </r>
  </si>
  <si>
    <r>
      <t>Список сокращений</t>
    </r>
    <r>
      <rPr>
        <sz val="11"/>
        <rFont val="Arial"/>
        <family val="2"/>
      </rPr>
      <t>: ФЛ - физические лица "с улицы", ДЗ - добросовестные заемщики, КК 1 - 3 гр. - сотрудники предприятий -корпоративных клиентов 1-3 групп, СБ - сотрудники Банка.</t>
    </r>
  </si>
  <si>
    <t>Срок кредита
6-12 мес.</t>
  </si>
  <si>
    <r>
      <t xml:space="preserve">Автостатус - 12 мес. на новые ТС 
в рамках стандартных условий кредитования 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2"/>
      </rPr>
      <t xml:space="preserve"> </t>
    </r>
  </si>
  <si>
    <r>
      <t>300 тыс.руб.</t>
    </r>
    <r>
      <rPr>
        <vertAlign val="superscript"/>
        <sz val="10"/>
        <rFont val="Arial"/>
        <family val="2"/>
      </rPr>
      <t>4</t>
    </r>
  </si>
  <si>
    <r>
      <t>60</t>
    </r>
    <r>
      <rPr>
        <vertAlign val="superscript"/>
        <sz val="10"/>
        <rFont val="Arial"/>
        <family val="2"/>
      </rPr>
      <t>9</t>
    </r>
    <r>
      <rPr>
        <sz val="10"/>
        <rFont val="Arial"/>
        <family val="2"/>
      </rPr>
      <t xml:space="preserve"> - 1 500</t>
    </r>
  </si>
  <si>
    <r>
      <t xml:space="preserve">Автостатус - 12 мес. на новые ТС 
в рамках специальных условий кредитования с заключением договора страхования "Жизни и здоровья" клиента </t>
    </r>
    <r>
      <rPr>
        <vertAlign val="superscript"/>
        <sz val="10"/>
        <rFont val="Arial"/>
        <family val="2"/>
      </rPr>
      <t>3, 10</t>
    </r>
  </si>
  <si>
    <r>
      <t>60</t>
    </r>
    <r>
      <rPr>
        <vertAlign val="superscript"/>
        <sz val="10"/>
        <rFont val="Arial"/>
        <family val="2"/>
      </rPr>
      <t xml:space="preserve">9 </t>
    </r>
    <r>
      <rPr>
        <sz val="10"/>
        <rFont val="Arial"/>
        <family val="2"/>
      </rPr>
      <t>- 1 500</t>
    </r>
  </si>
  <si>
    <t>13-60</t>
  </si>
  <si>
    <t xml:space="preserve">60 - 5 000 </t>
  </si>
  <si>
    <t>13-36</t>
  </si>
  <si>
    <t>60 - 300</t>
  </si>
  <si>
    <r>
      <t xml:space="preserve">Автостатус VW на новые ТС </t>
    </r>
    <r>
      <rPr>
        <vertAlign val="superscript"/>
        <sz val="10"/>
        <color indexed="12"/>
        <rFont val="PragmaticaCTT"/>
        <family val="2"/>
      </rPr>
      <t>2</t>
    </r>
  </si>
  <si>
    <r>
      <t xml:space="preserve">Автостатус VW на новые ТС 
ГОС. ПРОГРАММА </t>
    </r>
    <r>
      <rPr>
        <vertAlign val="superscript"/>
        <sz val="10"/>
        <color indexed="12"/>
        <rFont val="PragmaticaCTT"/>
        <family val="2"/>
      </rPr>
      <t>2</t>
    </r>
  </si>
  <si>
    <r>
      <t xml:space="preserve">Автостатус VW на новые ТС 
ГОС. ПРОГРАММА УТИЛИЗАЦИИ </t>
    </r>
    <r>
      <rPr>
        <vertAlign val="superscript"/>
        <sz val="10"/>
        <color indexed="12"/>
        <rFont val="PragmaticaCTT"/>
        <family val="2"/>
      </rPr>
      <t>2</t>
    </r>
  </si>
  <si>
    <r>
      <rPr>
        <sz val="10"/>
        <color indexed="10"/>
        <rFont val="Arial"/>
        <family val="2"/>
      </rPr>
      <t>Автостатус MultiFinance</t>
    </r>
    <r>
      <rPr>
        <sz val="10"/>
        <rFont val="Arial"/>
        <family val="2"/>
      </rPr>
      <t xml:space="preserve"> на новые ТС в рамках стандартных условий кредитования</t>
    </r>
    <r>
      <rPr>
        <vertAlign val="superscript"/>
        <sz val="10"/>
        <rFont val="Arial"/>
        <family val="2"/>
      </rPr>
      <t>2</t>
    </r>
  </si>
  <si>
    <r>
      <t>2</t>
    </r>
    <r>
      <rPr>
        <sz val="11"/>
        <rFont val="Arial"/>
        <family val="2"/>
      </rPr>
      <t xml:space="preserve"> Программы "Автостатус VW" и "MultiFinance" реализуется в ПС-участниках проекта по продаже автокредитов Банка через УРМ Русфинанс Банка. </t>
    </r>
  </si>
  <si>
    <r>
      <rPr>
        <sz val="10"/>
        <color indexed="10"/>
        <rFont val="Arial"/>
        <family val="2"/>
      </rPr>
      <t xml:space="preserve">Автостатус MultiFinance </t>
    </r>
    <r>
      <rPr>
        <sz val="10"/>
        <rFont val="Arial"/>
        <family val="2"/>
      </rPr>
      <t xml:space="preserve"> на новые ТС в рамках специальных условий кредитования с заключением договора страхования "Жизни и здоровья" </t>
    </r>
    <r>
      <rPr>
        <vertAlign val="superscript"/>
        <sz val="10"/>
        <rFont val="Arial"/>
        <family val="2"/>
      </rPr>
      <t>2, 3</t>
    </r>
  </si>
  <si>
    <t>60 - 3 000</t>
  </si>
  <si>
    <r>
      <rPr>
        <sz val="10"/>
        <color indexed="10"/>
        <rFont val="Arial"/>
        <family val="2"/>
      </rPr>
      <t>Автостатус MultiFinance</t>
    </r>
    <r>
      <rPr>
        <sz val="10"/>
        <rFont val="Arial"/>
        <family val="2"/>
      </rPr>
      <t xml:space="preserve"> на новые ТС
ГОС. ПРОГРАММА</t>
    </r>
    <r>
      <rPr>
        <vertAlign val="superscript"/>
        <sz val="10"/>
        <rFont val="Arial"/>
        <family val="2"/>
      </rPr>
      <t>2</t>
    </r>
  </si>
  <si>
    <t>6-34</t>
  </si>
  <si>
    <r>
      <rPr>
        <sz val="10"/>
        <color indexed="10"/>
        <rFont val="Arial"/>
        <family val="2"/>
      </rPr>
      <t>Автостатус MultiFinance</t>
    </r>
    <r>
      <rPr>
        <sz val="10"/>
        <rFont val="Arial"/>
        <family val="2"/>
      </rPr>
      <t xml:space="preserve"> на новые ТС
ГОС. ПРОГРАММА УТИЛИЗАЦИИ</t>
    </r>
    <r>
      <rPr>
        <vertAlign val="superscript"/>
        <sz val="10"/>
        <rFont val="Arial"/>
        <family val="2"/>
      </rPr>
      <t>2</t>
    </r>
  </si>
  <si>
    <t>Версия от 23.01.2012 г.</t>
  </si>
  <si>
    <t>Срок кредита
6-12мес.</t>
  </si>
  <si>
    <t>Срок кредита
13-36 мес.</t>
  </si>
  <si>
    <t>10%-19,99%</t>
  </si>
  <si>
    <t>20%-29.99%</t>
  </si>
  <si>
    <t>20%-29.99</t>
  </si>
  <si>
    <t>Формат "ставка + комиссия"</t>
  </si>
  <si>
    <t>Формат "без комиссий"</t>
  </si>
  <si>
    <t>Условия предоставления кредитов на приобретение ТС (специальные программы)</t>
  </si>
  <si>
    <t>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</si>
</sst>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0_ ;\-#,##0.00\ "/>
    <numFmt numFmtId="166" formatCode="0.0%"/>
    <numFmt numFmtId="167" formatCode="0.0000"/>
    <numFmt numFmtId="168" formatCode="0.000"/>
    <numFmt numFmtId="169" formatCode="#,##0.00000000000"/>
    <numFmt numFmtId="170" formatCode="0.00000000"/>
  </numFmts>
  <fonts count="82">
    <font>
      <sz val="10"/>
      <name val="PragmaticaCTT"/>
      <family val="0"/>
    </font>
    <font>
      <b/>
      <u val="single"/>
      <sz val="16"/>
      <name val="Times New Roman Cyr"/>
      <family val="1"/>
    </font>
    <font>
      <b/>
      <sz val="16"/>
      <name val="Times New Roman Cyr"/>
      <family val="1"/>
    </font>
    <font>
      <b/>
      <sz val="11"/>
      <name val="Arial Cyr"/>
      <family val="2"/>
    </font>
    <font>
      <sz val="10"/>
      <name val="Arial Cyr"/>
      <family val="2"/>
    </font>
    <font>
      <b/>
      <sz val="11"/>
      <color indexed="9"/>
      <name val="Arial Cyr"/>
      <family val="2"/>
    </font>
    <font>
      <sz val="11"/>
      <name val="Arial Cyr"/>
      <family val="2"/>
    </font>
    <font>
      <b/>
      <sz val="11"/>
      <color indexed="10"/>
      <name val="Arial Cyr"/>
      <family val="0"/>
    </font>
    <font>
      <b/>
      <sz val="14"/>
      <color indexed="10"/>
      <name val="Arial Cyr"/>
      <family val="0"/>
    </font>
    <font>
      <b/>
      <sz val="11"/>
      <color indexed="12"/>
      <name val="Arial Cyr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name val="PragmaticaCTT"/>
      <family val="2"/>
    </font>
    <font>
      <i/>
      <u val="single"/>
      <sz val="10"/>
      <name val="Arial Cyr"/>
      <family val="2"/>
    </font>
    <font>
      <i/>
      <sz val="10"/>
      <name val="Arial Cyr"/>
      <family val="2"/>
    </font>
    <font>
      <sz val="8"/>
      <name val="PragmaticaCTT"/>
      <family val="2"/>
    </font>
    <font>
      <b/>
      <sz val="16"/>
      <color indexed="10"/>
      <name val="Times New Roman Cyr"/>
      <family val="1"/>
    </font>
    <font>
      <b/>
      <sz val="18"/>
      <color indexed="10"/>
      <name val="Times New Roman Cyr"/>
      <family val="1"/>
    </font>
    <font>
      <b/>
      <sz val="12"/>
      <name val="PragmaticaCTT"/>
      <family val="2"/>
    </font>
    <font>
      <b/>
      <sz val="16"/>
      <name val="PragmaticaCTT"/>
      <family val="2"/>
    </font>
    <font>
      <b/>
      <sz val="14"/>
      <name val="PragmaticaCTT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20"/>
      <color indexed="10"/>
      <name val="Times New Roman Cyr"/>
      <family val="1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vertAlign val="superscript"/>
      <sz val="10"/>
      <name val="PragmaticaCTT"/>
      <family val="2"/>
    </font>
    <font>
      <vertAlign val="superscript"/>
      <sz val="10"/>
      <name val="PragmaticaCTT"/>
      <family val="2"/>
    </font>
    <font>
      <sz val="10"/>
      <color indexed="10"/>
      <name val="PragmaticaCTT"/>
      <family val="2"/>
    </font>
    <font>
      <vertAlign val="superscript"/>
      <sz val="10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i/>
      <sz val="14"/>
      <name val="Arial Cyr"/>
      <family val="0"/>
    </font>
    <font>
      <b/>
      <sz val="14"/>
      <name val="Arial Cyr"/>
      <family val="2"/>
    </font>
    <font>
      <b/>
      <i/>
      <sz val="16"/>
      <name val="Arial Cyr"/>
      <family val="0"/>
    </font>
    <font>
      <b/>
      <i/>
      <sz val="11"/>
      <name val="Arial Cyr"/>
      <family val="0"/>
    </font>
    <font>
      <b/>
      <sz val="12"/>
      <color indexed="10"/>
      <name val="Times New Roman Cyr"/>
      <family val="1"/>
    </font>
    <font>
      <b/>
      <sz val="11"/>
      <color indexed="10"/>
      <name val="Arial"/>
      <family val="2"/>
    </font>
    <font>
      <b/>
      <i/>
      <sz val="12"/>
      <color indexed="10"/>
      <name val="Arial Cyr"/>
      <family val="0"/>
    </font>
    <font>
      <sz val="11"/>
      <color indexed="12"/>
      <name val="Arial Cyr"/>
      <family val="0"/>
    </font>
    <font>
      <b/>
      <i/>
      <u val="single"/>
      <sz val="11"/>
      <color indexed="12"/>
      <name val="Arial Cyr"/>
      <family val="0"/>
    </font>
    <font>
      <i/>
      <sz val="11"/>
      <color indexed="12"/>
      <name val="Arial Cyr"/>
      <family val="0"/>
    </font>
    <font>
      <b/>
      <i/>
      <sz val="10"/>
      <name val="PragmaticaCTT"/>
      <family val="2"/>
    </font>
    <font>
      <b/>
      <i/>
      <u val="single"/>
      <sz val="10"/>
      <name val="PragmaticaCTT"/>
      <family val="2"/>
    </font>
    <font>
      <i/>
      <sz val="10"/>
      <name val="PragmaticaCTT"/>
      <family val="2"/>
    </font>
    <font>
      <b/>
      <i/>
      <u val="single"/>
      <sz val="11"/>
      <color indexed="12"/>
      <name val="Arial"/>
      <family val="2"/>
    </font>
    <font>
      <i/>
      <sz val="11"/>
      <color indexed="12"/>
      <name val="Arial"/>
      <family val="2"/>
    </font>
    <font>
      <u val="single"/>
      <sz val="10"/>
      <name val="PragmaticaCTT"/>
      <family val="2"/>
    </font>
    <font>
      <b/>
      <sz val="12"/>
      <name val="Arial"/>
      <family val="2"/>
    </font>
    <font>
      <sz val="12"/>
      <name val="PragmaticaCTT"/>
      <family val="2"/>
    </font>
    <font>
      <vertAlign val="superscript"/>
      <sz val="11"/>
      <name val="Arial"/>
      <family val="2"/>
    </font>
    <font>
      <sz val="11"/>
      <name val="PragmaticaCTT"/>
      <family val="2"/>
    </font>
    <font>
      <sz val="11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0"/>
      <name val="PragmaticaCTT"/>
      <family val="2"/>
    </font>
    <font>
      <vertAlign val="superscript"/>
      <sz val="11"/>
      <color indexed="10"/>
      <name val="Arial"/>
      <family val="2"/>
    </font>
    <font>
      <sz val="8"/>
      <name val="Tahoma"/>
      <family val="2"/>
    </font>
    <font>
      <sz val="10"/>
      <color indexed="12"/>
      <name val="PragmaticaCTT"/>
      <family val="2"/>
    </font>
    <font>
      <vertAlign val="superscript"/>
      <sz val="10"/>
      <color indexed="12"/>
      <name val="PragmaticaCTT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PragmaticaCTT"/>
      <family val="0"/>
    </font>
    <font>
      <u val="single"/>
      <sz val="10"/>
      <color indexed="36"/>
      <name val="PragmaticaCTT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2" borderId="0" applyNumberFormat="0" applyBorder="0" applyAlignment="0" applyProtection="0"/>
    <xf numFmtId="0" fontId="72" fillId="5" borderId="0" applyNumberFormat="0" applyBorder="0" applyAlignment="0" applyProtection="0"/>
    <xf numFmtId="0" fontId="72" fillId="3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6" borderId="0" applyNumberFormat="0" applyBorder="0" applyAlignment="0" applyProtection="0"/>
    <xf numFmtId="0" fontId="72" fillId="9" borderId="0" applyNumberFormat="0" applyBorder="0" applyAlignment="0" applyProtection="0"/>
    <xf numFmtId="0" fontId="72" fillId="3" borderId="0" applyNumberFormat="0" applyBorder="0" applyAlignment="0" applyProtection="0"/>
    <xf numFmtId="0" fontId="71" fillId="10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6" borderId="0" applyNumberFormat="0" applyBorder="0" applyAlignment="0" applyProtection="0"/>
    <xf numFmtId="0" fontId="71" fillId="10" borderId="0" applyNumberFormat="0" applyBorder="0" applyAlignment="0" applyProtection="0"/>
    <xf numFmtId="0" fontId="71" fillId="3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1" fillId="10" borderId="0" applyNumberFormat="0" applyBorder="0" applyAlignment="0" applyProtection="0"/>
    <xf numFmtId="0" fontId="71" fillId="14" borderId="0" applyNumberFormat="0" applyBorder="0" applyAlignment="0" applyProtection="0"/>
    <xf numFmtId="0" fontId="63" fillId="3" borderId="1" applyNumberFormat="0" applyAlignment="0" applyProtection="0"/>
    <xf numFmtId="0" fontId="64" fillId="2" borderId="2" applyNumberFormat="0" applyAlignment="0" applyProtection="0"/>
    <xf numFmtId="0" fontId="65" fillId="2" borderId="1" applyNumberFormat="0" applyAlignment="0" applyProtection="0"/>
    <xf numFmtId="0" fontId="8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67" fillId="15" borderId="7" applyNumberFormat="0" applyAlignment="0" applyProtection="0"/>
    <xf numFmtId="0" fontId="56" fillId="0" borderId="0" applyNumberFormat="0" applyFill="0" applyBorder="0" applyAlignment="0" applyProtection="0"/>
    <xf numFmtId="0" fontId="62" fillId="8" borderId="0" applyNumberFormat="0" applyBorder="0" applyAlignment="0" applyProtection="0"/>
    <xf numFmtId="0" fontId="81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17" borderId="0" applyNumberFormat="0" applyBorder="0" applyAlignment="0" applyProtection="0"/>
  </cellStyleXfs>
  <cellXfs count="94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4" fontId="0" fillId="0" borderId="0" xfId="0" applyNumberForma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4" fontId="5" fillId="2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10" xfId="0" applyFont="1" applyBorder="1" applyAlignment="1" applyProtection="1">
      <alignment/>
      <protection hidden="1"/>
    </xf>
    <xf numFmtId="0" fontId="7" fillId="0" borderId="0" xfId="0" applyFont="1" applyAlignment="1">
      <alignment horizontal="left" vertical="center" wrapText="1"/>
    </xf>
    <xf numFmtId="0" fontId="6" fillId="0" borderId="11" xfId="0" applyFont="1" applyBorder="1" applyAlignment="1" applyProtection="1">
      <alignment/>
      <protection hidden="1"/>
    </xf>
    <xf numFmtId="166" fontId="3" fillId="0" borderId="0" xfId="57" applyNumberFormat="1" applyFont="1" applyAlignment="1" applyProtection="1">
      <alignment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4" fontId="3" fillId="0" borderId="12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4" xfId="0" applyFont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43" fontId="0" fillId="0" borderId="14" xfId="0" applyNumberFormat="1" applyBorder="1" applyAlignment="1" applyProtection="1">
      <alignment/>
      <protection hidden="1"/>
    </xf>
    <xf numFmtId="14" fontId="0" fillId="0" borderId="14" xfId="0" applyNumberFormat="1" applyBorder="1" applyAlignment="1" applyProtection="1">
      <alignment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4" fontId="10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>
      <alignment horizontal="left" vertical="center"/>
    </xf>
    <xf numFmtId="4" fontId="3" fillId="0" borderId="0" xfId="0" applyNumberFormat="1" applyFont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 horizontal="right" vertical="center"/>
      <protection hidden="1"/>
    </xf>
    <xf numFmtId="4" fontId="17" fillId="0" borderId="0" xfId="0" applyNumberFormat="1" applyFont="1" applyFill="1" applyBorder="1" applyAlignment="1" applyProtection="1">
      <alignment horizontal="center"/>
      <protection hidden="1"/>
    </xf>
    <xf numFmtId="2" fontId="19" fillId="0" borderId="0" xfId="0" applyNumberFormat="1" applyFont="1" applyFill="1" applyBorder="1" applyAlignment="1" applyProtection="1">
      <alignment horizontal="center"/>
      <protection hidden="1"/>
    </xf>
    <xf numFmtId="2" fontId="6" fillId="0" borderId="0" xfId="0" applyNumberFormat="1" applyFont="1" applyFill="1" applyBorder="1" applyAlignment="1" applyProtection="1">
      <alignment horizontal="left" vertical="center"/>
      <protection hidden="1"/>
    </xf>
    <xf numFmtId="0" fontId="2" fillId="0" borderId="14" xfId="0" applyFont="1" applyBorder="1" applyAlignment="1" applyProtection="1">
      <alignment/>
      <protection hidden="1"/>
    </xf>
    <xf numFmtId="0" fontId="21" fillId="0" borderId="17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3" fillId="0" borderId="0" xfId="0" applyFont="1" applyBorder="1" applyAlignment="1">
      <alignment horizontal="center" vertical="center" wrapText="1"/>
    </xf>
    <xf numFmtId="0" fontId="21" fillId="0" borderId="0" xfId="0" applyFont="1" applyAlignment="1" applyProtection="1">
      <alignment horizontal="left"/>
      <protection hidden="1"/>
    </xf>
    <xf numFmtId="0" fontId="22" fillId="0" borderId="0" xfId="0" applyFont="1" applyAlignment="1" applyProtection="1">
      <alignment horizontal="left"/>
      <protection hidden="1"/>
    </xf>
    <xf numFmtId="0" fontId="22" fillId="0" borderId="0" xfId="0" applyFont="1" applyAlignment="1">
      <alignment horizontal="left" vertical="center"/>
    </xf>
    <xf numFmtId="4" fontId="22" fillId="0" borderId="0" xfId="0" applyNumberFormat="1" applyFont="1" applyFill="1" applyBorder="1" applyAlignment="1" applyProtection="1">
      <alignment horizontal="left"/>
      <protection hidden="1"/>
    </xf>
    <xf numFmtId="0" fontId="23" fillId="0" borderId="0" xfId="0" applyFont="1" applyAlignment="1" applyProtection="1">
      <alignment horizontal="left"/>
      <protection hidden="1"/>
    </xf>
    <xf numFmtId="4" fontId="22" fillId="0" borderId="0" xfId="0" applyNumberFormat="1" applyFont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locked="0"/>
    </xf>
    <xf numFmtId="0" fontId="21" fillId="0" borderId="18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0" fontId="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left" vertical="top"/>
      <protection hidden="1"/>
    </xf>
    <xf numFmtId="0" fontId="3" fillId="0" borderId="2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166" fontId="1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18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166" fontId="0" fillId="0" borderId="25" xfId="0" applyNumberFormat="1" applyFont="1" applyFill="1" applyBorder="1" applyAlignment="1">
      <alignment horizontal="center" vertical="center" wrapText="1"/>
    </xf>
    <xf numFmtId="166" fontId="0" fillId="0" borderId="26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/>
    </xf>
    <xf numFmtId="166" fontId="0" fillId="0" borderId="29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166" fontId="0" fillId="0" borderId="30" xfId="0" applyNumberFormat="1" applyFont="1" applyFill="1" applyBorder="1" applyAlignment="1">
      <alignment horizontal="center" vertical="center" wrapText="1"/>
    </xf>
    <xf numFmtId="166" fontId="0" fillId="0" borderId="31" xfId="0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166" fontId="0" fillId="0" borderId="32" xfId="0" applyNumberFormat="1" applyFont="1" applyFill="1" applyBorder="1" applyAlignment="1">
      <alignment horizontal="center" vertical="center" wrapText="1"/>
    </xf>
    <xf numFmtId="166" fontId="0" fillId="0" borderId="28" xfId="0" applyNumberFormat="1" applyFont="1" applyFill="1" applyBorder="1" applyAlignment="1">
      <alignment horizontal="center" vertical="center" wrapText="1"/>
    </xf>
    <xf numFmtId="166" fontId="0" fillId="0" borderId="23" xfId="0" applyNumberFormat="1" applyFont="1" applyFill="1" applyBorder="1" applyAlignment="1">
      <alignment horizontal="center" vertical="center" wrapText="1"/>
    </xf>
    <xf numFmtId="166" fontId="0" fillId="0" borderId="24" xfId="0" applyNumberFormat="1" applyFont="1" applyFill="1" applyBorder="1" applyAlignment="1">
      <alignment horizontal="center" vertical="center" wrapText="1"/>
    </xf>
    <xf numFmtId="166" fontId="0" fillId="0" borderId="27" xfId="0" applyNumberFormat="1" applyFont="1" applyFill="1" applyBorder="1" applyAlignment="1">
      <alignment horizontal="center" vertical="center" wrapText="1"/>
    </xf>
    <xf numFmtId="166" fontId="0" fillId="0" borderId="33" xfId="0" applyNumberFormat="1" applyFont="1" applyFill="1" applyBorder="1" applyAlignment="1">
      <alignment horizontal="center" vertical="center" wrapText="1"/>
    </xf>
    <xf numFmtId="166" fontId="0" fillId="0" borderId="18" xfId="0" applyNumberFormat="1" applyFont="1" applyFill="1" applyBorder="1" applyAlignment="1">
      <alignment horizontal="center" vertical="center" wrapText="1"/>
    </xf>
    <xf numFmtId="166" fontId="0" fillId="0" borderId="34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4" fillId="0" borderId="0" xfId="0" applyFont="1" applyFill="1" applyBorder="1" applyAlignment="1">
      <alignment horizontal="left" vertical="center"/>
    </xf>
    <xf numFmtId="166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31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166" fontId="0" fillId="0" borderId="17" xfId="0" applyNumberFormat="1" applyFont="1" applyFill="1" applyBorder="1" applyAlignment="1">
      <alignment horizontal="center" vertical="center" wrapText="1"/>
    </xf>
    <xf numFmtId="166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166" fontId="0" fillId="18" borderId="25" xfId="0" applyNumberFormat="1" applyFont="1" applyFill="1" applyBorder="1" applyAlignment="1">
      <alignment horizontal="center" vertical="center"/>
    </xf>
    <xf numFmtId="166" fontId="0" fillId="18" borderId="14" xfId="0" applyNumberFormat="1" applyFont="1" applyFill="1" applyBorder="1" applyAlignment="1">
      <alignment horizontal="center" vertical="center"/>
    </xf>
    <xf numFmtId="166" fontId="0" fillId="18" borderId="31" xfId="0" applyNumberFormat="1" applyFont="1" applyFill="1" applyBorder="1" applyAlignment="1">
      <alignment horizontal="center" vertical="center" wrapText="1"/>
    </xf>
    <xf numFmtId="166" fontId="0" fillId="18" borderId="14" xfId="0" applyNumberFormat="1" applyFont="1" applyFill="1" applyBorder="1" applyAlignment="1">
      <alignment horizontal="center" vertical="center" wrapText="1"/>
    </xf>
    <xf numFmtId="166" fontId="0" fillId="18" borderId="25" xfId="0" applyNumberFormat="1" applyFont="1" applyFill="1" applyBorder="1" applyAlignment="1">
      <alignment horizontal="center" vertical="center" wrapText="1"/>
    </xf>
    <xf numFmtId="166" fontId="0" fillId="18" borderId="32" xfId="0" applyNumberFormat="1" applyFont="1" applyFill="1" applyBorder="1" applyAlignment="1">
      <alignment horizontal="center" vertical="center" wrapText="1"/>
    </xf>
    <xf numFmtId="166" fontId="0" fillId="18" borderId="28" xfId="0" applyNumberFormat="1" applyFont="1" applyFill="1" applyBorder="1" applyAlignment="1">
      <alignment horizontal="center" vertical="center" wrapText="1"/>
    </xf>
    <xf numFmtId="166" fontId="0" fillId="18" borderId="37" xfId="0" applyNumberFormat="1" applyFont="1" applyFill="1" applyBorder="1" applyAlignment="1" applyProtection="1">
      <alignment horizontal="center" vertical="center"/>
      <protection locked="0"/>
    </xf>
    <xf numFmtId="166" fontId="0" fillId="18" borderId="38" xfId="0" applyNumberFormat="1" applyFont="1" applyFill="1" applyBorder="1" applyAlignment="1" applyProtection="1">
      <alignment horizontal="center" vertical="center"/>
      <protection locked="0"/>
    </xf>
    <xf numFmtId="166" fontId="0" fillId="18" borderId="39" xfId="0" applyNumberFormat="1" applyFont="1" applyFill="1" applyBorder="1" applyAlignment="1" applyProtection="1">
      <alignment horizontal="center" vertical="center"/>
      <protection locked="0"/>
    </xf>
    <xf numFmtId="166" fontId="0" fillId="18" borderId="27" xfId="0" applyNumberFormat="1" applyFont="1" applyFill="1" applyBorder="1" applyAlignment="1" applyProtection="1">
      <alignment horizontal="center" vertical="center"/>
      <protection locked="0"/>
    </xf>
    <xf numFmtId="166" fontId="0" fillId="18" borderId="25" xfId="0" applyNumberFormat="1" applyFont="1" applyFill="1" applyBorder="1" applyAlignment="1" applyProtection="1">
      <alignment horizontal="center" vertical="center"/>
      <protection locked="0"/>
    </xf>
    <xf numFmtId="166" fontId="0" fillId="18" borderId="14" xfId="0" applyNumberFormat="1" applyFont="1" applyFill="1" applyBorder="1" applyAlignment="1" applyProtection="1">
      <alignment horizontal="center" vertical="center"/>
      <protection locked="0"/>
    </xf>
    <xf numFmtId="166" fontId="0" fillId="18" borderId="40" xfId="0" applyNumberFormat="1" applyFont="1" applyFill="1" applyBorder="1" applyAlignment="1" applyProtection="1">
      <alignment horizontal="center" vertical="center"/>
      <protection locked="0"/>
    </xf>
    <xf numFmtId="166" fontId="0" fillId="18" borderId="41" xfId="0" applyNumberFormat="1" applyFont="1" applyFill="1" applyBorder="1" applyAlignment="1" applyProtection="1">
      <alignment horizontal="center" vertical="center"/>
      <protection locked="0"/>
    </xf>
    <xf numFmtId="166" fontId="0" fillId="18" borderId="42" xfId="0" applyNumberFormat="1" applyFont="1" applyFill="1" applyBorder="1" applyAlignment="1" applyProtection="1">
      <alignment horizontal="center" vertical="center"/>
      <protection locked="0"/>
    </xf>
    <xf numFmtId="166" fontId="0" fillId="18" borderId="13" xfId="0" applyNumberFormat="1" applyFont="1" applyFill="1" applyBorder="1" applyAlignment="1" applyProtection="1">
      <alignment horizontal="center" vertical="center"/>
      <protection locked="0"/>
    </xf>
    <xf numFmtId="166" fontId="0" fillId="18" borderId="21" xfId="0" applyNumberFormat="1" applyFont="1" applyFill="1" applyBorder="1" applyAlignment="1" applyProtection="1">
      <alignment horizontal="center" vertical="center"/>
      <protection locked="0"/>
    </xf>
    <xf numFmtId="166" fontId="0" fillId="18" borderId="43" xfId="0" applyNumberFormat="1" applyFont="1" applyFill="1" applyBorder="1" applyAlignment="1" applyProtection="1">
      <alignment horizontal="center" vertical="center"/>
      <protection locked="0"/>
    </xf>
    <xf numFmtId="166" fontId="0" fillId="18" borderId="29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3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1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25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2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28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26" xfId="0" applyNumberFormat="1" applyFont="1" applyFill="1" applyBorder="1" applyAlignment="1">
      <alignment horizontal="center" vertical="center" wrapText="1"/>
    </xf>
    <xf numFmtId="166" fontId="0" fillId="18" borderId="23" xfId="0" applyNumberFormat="1" applyFont="1" applyFill="1" applyBorder="1" applyAlignment="1">
      <alignment horizontal="center" vertical="center" wrapText="1"/>
    </xf>
    <xf numFmtId="166" fontId="0" fillId="18" borderId="44" xfId="0" applyNumberFormat="1" applyFont="1" applyFill="1" applyBorder="1" applyAlignment="1" applyProtection="1">
      <alignment horizontal="center" vertical="center"/>
      <protection locked="0"/>
    </xf>
    <xf numFmtId="166" fontId="0" fillId="18" borderId="24" xfId="0" applyNumberFormat="1" applyFont="1" applyFill="1" applyBorder="1" applyAlignment="1" applyProtection="1">
      <alignment horizontal="center" vertical="center"/>
      <protection locked="0"/>
    </xf>
    <xf numFmtId="166" fontId="0" fillId="18" borderId="44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1" xfId="0" applyNumberFormat="1" applyFont="1" applyFill="1" applyBorder="1" applyAlignment="1" applyProtection="1">
      <alignment horizontal="center" vertical="center"/>
      <protection locked="0"/>
    </xf>
    <xf numFmtId="166" fontId="0" fillId="18" borderId="32" xfId="0" applyNumberFormat="1" applyFont="1" applyFill="1" applyBorder="1" applyAlignment="1" applyProtection="1">
      <alignment horizontal="center" vertical="center"/>
      <protection locked="0"/>
    </xf>
    <xf numFmtId="166" fontId="0" fillId="18" borderId="28" xfId="0" applyNumberFormat="1" applyFont="1" applyFill="1" applyBorder="1" applyAlignment="1" applyProtection="1">
      <alignment horizontal="center" vertical="center"/>
      <protection locked="0"/>
    </xf>
    <xf numFmtId="166" fontId="0" fillId="18" borderId="24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45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43" xfId="0" applyNumberFormat="1" applyFont="1" applyFill="1" applyBorder="1" applyAlignment="1" applyProtection="1">
      <alignment horizontal="center" vertical="center" wrapText="1"/>
      <protection locked="0"/>
    </xf>
    <xf numFmtId="10" fontId="0" fillId="18" borderId="44" xfId="0" applyNumberFormat="1" applyFont="1" applyFill="1" applyBorder="1" applyAlignment="1">
      <alignment horizontal="center" vertical="center"/>
    </xf>
    <xf numFmtId="10" fontId="0" fillId="18" borderId="31" xfId="0" applyNumberFormat="1" applyFont="1" applyFill="1" applyBorder="1" applyAlignment="1">
      <alignment horizontal="center" vertical="center"/>
    </xf>
    <xf numFmtId="10" fontId="0" fillId="18" borderId="32" xfId="0" applyNumberFormat="1" applyFont="1" applyFill="1" applyBorder="1" applyAlignment="1">
      <alignment horizontal="center" vertical="center"/>
    </xf>
    <xf numFmtId="166" fontId="0" fillId="18" borderId="31" xfId="0" applyNumberFormat="1" applyFont="1" applyFill="1" applyBorder="1" applyAlignment="1">
      <alignment horizontal="center" vertical="center"/>
    </xf>
    <xf numFmtId="10" fontId="0" fillId="18" borderId="44" xfId="0" applyNumberFormat="1" applyFont="1" applyFill="1" applyBorder="1" applyAlignment="1">
      <alignment horizontal="center" vertical="center" wrapText="1"/>
    </xf>
    <xf numFmtId="10" fontId="0" fillId="18" borderId="31" xfId="0" applyNumberFormat="1" applyFont="1" applyFill="1" applyBorder="1" applyAlignment="1">
      <alignment horizontal="center" vertical="center" wrapText="1"/>
    </xf>
    <xf numFmtId="10" fontId="0" fillId="18" borderId="32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 applyProtection="1">
      <alignment/>
      <protection hidden="1"/>
    </xf>
    <xf numFmtId="0" fontId="21" fillId="0" borderId="18" xfId="0" applyFont="1" applyBorder="1" applyAlignment="1" applyProtection="1">
      <alignment vertical="center"/>
      <protection hidden="1"/>
    </xf>
    <xf numFmtId="0" fontId="2" fillId="0" borderId="35" xfId="0" applyFont="1" applyBorder="1" applyAlignment="1" applyProtection="1">
      <alignment/>
      <protection hidden="1"/>
    </xf>
    <xf numFmtId="0" fontId="2" fillId="0" borderId="36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left"/>
      <protection hidden="1"/>
    </xf>
    <xf numFmtId="4" fontId="1" fillId="0" borderId="0" xfId="0" applyNumberFormat="1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3" fillId="0" borderId="35" xfId="0" applyFont="1" applyBorder="1" applyAlignment="1" applyProtection="1">
      <alignment horizontal="left"/>
      <protection hidden="1"/>
    </xf>
    <xf numFmtId="165" fontId="3" fillId="0" borderId="46" xfId="61" applyNumberFormat="1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170" fontId="6" fillId="0" borderId="0" xfId="0" applyNumberFormat="1" applyFont="1" applyAlignment="1" applyProtection="1">
      <alignment/>
      <protection hidden="1"/>
    </xf>
    <xf numFmtId="10" fontId="3" fillId="0" borderId="16" xfId="0" applyNumberFormat="1" applyFont="1" applyBorder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0" applyNumberFormat="1" applyAlignment="1" applyProtection="1">
      <alignment horizontal="center"/>
      <protection hidden="1"/>
    </xf>
    <xf numFmtId="43" fontId="0" fillId="0" borderId="0" xfId="0" applyNumberFormat="1" applyAlignment="1" applyProtection="1">
      <alignment/>
      <protection hidden="1"/>
    </xf>
    <xf numFmtId="170" fontId="0" fillId="0" borderId="0" xfId="0" applyNumberFormat="1" applyAlignment="1" applyProtection="1">
      <alignment horizontal="center"/>
      <protection hidden="1"/>
    </xf>
    <xf numFmtId="4" fontId="9" fillId="0" borderId="0" xfId="0" applyNumberFormat="1" applyFont="1" applyBorder="1" applyAlignment="1" applyProtection="1">
      <alignment horizontal="left"/>
      <protection hidden="1"/>
    </xf>
    <xf numFmtId="0" fontId="7" fillId="0" borderId="0" xfId="0" applyNumberFormat="1" applyFont="1" applyFill="1" applyBorder="1" applyAlignment="1" applyProtection="1">
      <alignment/>
      <protection hidden="1"/>
    </xf>
    <xf numFmtId="0" fontId="3" fillId="0" borderId="0" xfId="0" applyNumberFormat="1" applyFont="1" applyFill="1" applyBorder="1" applyAlignment="1" applyProtection="1">
      <alignment horizontal="right"/>
      <protection hidden="1"/>
    </xf>
    <xf numFmtId="0" fontId="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NumberFormat="1" applyFill="1" applyBorder="1" applyAlignment="1" applyProtection="1">
      <alignment/>
      <protection hidden="1"/>
    </xf>
    <xf numFmtId="168" fontId="21" fillId="18" borderId="14" xfId="0" applyNumberFormat="1" applyFont="1" applyFill="1" applyBorder="1" applyAlignment="1" applyProtection="1">
      <alignment horizontal="center" vertical="center"/>
      <protection locked="0"/>
    </xf>
    <xf numFmtId="0" fontId="3" fillId="18" borderId="14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/>
      <protection hidden="1"/>
    </xf>
    <xf numFmtId="2" fontId="3" fillId="0" borderId="0" xfId="0" applyNumberFormat="1" applyFont="1" applyFill="1" applyBorder="1" applyAlignment="1" applyProtection="1">
      <alignment/>
      <protection/>
    </xf>
    <xf numFmtId="168" fontId="3" fillId="18" borderId="14" xfId="0" applyNumberFormat="1" applyFont="1" applyFill="1" applyBorder="1" applyAlignment="1" applyProtection="1">
      <alignment horizontal="center" vertical="center"/>
      <protection locked="0"/>
    </xf>
    <xf numFmtId="0" fontId="3" fillId="18" borderId="14" xfId="0" applyFont="1" applyFill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/>
      <protection hidden="1"/>
    </xf>
    <xf numFmtId="14" fontId="3" fillId="18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left" vertical="center"/>
      <protection hidden="1"/>
    </xf>
    <xf numFmtId="2" fontId="5" fillId="0" borderId="20" xfId="0" applyNumberFormat="1" applyFont="1" applyBorder="1" applyAlignment="1" applyProtection="1">
      <alignment horizontal="left" vertical="center"/>
      <protection hidden="1"/>
    </xf>
    <xf numFmtId="4" fontId="21" fillId="18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0" fontId="3" fillId="0" borderId="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19" fillId="0" borderId="0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0" fontId="36" fillId="0" borderId="20" xfId="0" applyFont="1" applyBorder="1" applyAlignment="1" applyProtection="1">
      <alignment horizontal="left"/>
      <protection hidden="1"/>
    </xf>
    <xf numFmtId="167" fontId="21" fillId="0" borderId="0" xfId="0" applyNumberFormat="1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horizontal="left"/>
      <protection/>
    </xf>
    <xf numFmtId="2" fontId="3" fillId="0" borderId="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2" fontId="3" fillId="0" borderId="0" xfId="0" applyNumberFormat="1" applyFont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6" fillId="0" borderId="47" xfId="0" applyFont="1" applyBorder="1" applyAlignment="1" applyProtection="1">
      <alignment/>
      <protection hidden="1"/>
    </xf>
    <xf numFmtId="0" fontId="3" fillId="0" borderId="47" xfId="0" applyFont="1" applyBorder="1" applyAlignment="1" applyProtection="1">
      <alignment/>
      <protection hidden="1"/>
    </xf>
    <xf numFmtId="165" fontId="35" fillId="0" borderId="14" xfId="61" applyNumberFormat="1" applyFont="1" applyFill="1" applyBorder="1" applyAlignment="1" applyProtection="1">
      <alignment horizontal="center"/>
      <protection hidden="1"/>
    </xf>
    <xf numFmtId="0" fontId="35" fillId="0" borderId="0" xfId="0" applyFont="1" applyBorder="1" applyAlignment="1" applyProtection="1">
      <alignment horizontal="left"/>
      <protection hidden="1"/>
    </xf>
    <xf numFmtId="0" fontId="38" fillId="0" borderId="0" xfId="0" applyFont="1" applyAlignment="1" applyProtection="1">
      <alignment/>
      <protection hidden="1"/>
    </xf>
    <xf numFmtId="165" fontId="38" fillId="0" borderId="14" xfId="61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left"/>
      <protection hidden="1"/>
    </xf>
    <xf numFmtId="4" fontId="3" fillId="0" borderId="14" xfId="0" applyNumberFormat="1" applyFont="1" applyFill="1" applyBorder="1" applyAlignment="1" applyProtection="1">
      <alignment horizontal="center" vertical="center"/>
      <protection hidden="1"/>
    </xf>
    <xf numFmtId="4" fontId="3" fillId="18" borderId="14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Alignment="1" applyProtection="1">
      <alignment horizontal="left" vertical="center"/>
      <protection hidden="1"/>
    </xf>
    <xf numFmtId="166" fontId="0" fillId="18" borderId="44" xfId="0" applyNumberFormat="1" applyFont="1" applyFill="1" applyBorder="1" applyAlignment="1">
      <alignment horizontal="center" vertical="center"/>
    </xf>
    <xf numFmtId="166" fontId="0" fillId="18" borderId="24" xfId="0" applyNumberFormat="1" applyFont="1" applyFill="1" applyBorder="1" applyAlignment="1">
      <alignment horizontal="center" vertical="center"/>
    </xf>
    <xf numFmtId="166" fontId="0" fillId="18" borderId="48" xfId="0" applyNumberFormat="1" applyFont="1" applyFill="1" applyBorder="1" applyAlignment="1">
      <alignment horizontal="center" vertical="center" wrapText="1"/>
    </xf>
    <xf numFmtId="166" fontId="0" fillId="18" borderId="49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 applyProtection="1">
      <alignment horizontal="left"/>
      <protection hidden="1"/>
    </xf>
    <xf numFmtId="0" fontId="18" fillId="0" borderId="0" xfId="0" applyFont="1" applyAlignment="1">
      <alignment/>
    </xf>
    <xf numFmtId="8" fontId="6" fillId="0" borderId="0" xfId="0" applyNumberFormat="1" applyFont="1" applyAlignment="1" applyProtection="1">
      <alignment/>
      <protection hidden="1"/>
    </xf>
    <xf numFmtId="0" fontId="37" fillId="19" borderId="0" xfId="0" applyFont="1" applyFill="1" applyAlignment="1" applyProtection="1">
      <alignment vertical="center"/>
      <protection hidden="1"/>
    </xf>
    <xf numFmtId="0" fontId="2" fillId="19" borderId="0" xfId="0" applyFont="1" applyFill="1" applyAlignment="1" applyProtection="1">
      <alignment/>
      <protection hidden="1"/>
    </xf>
    <xf numFmtId="0" fontId="6" fillId="19" borderId="0" xfId="0" applyFont="1" applyFill="1" applyAlignment="1" applyProtection="1">
      <alignment/>
      <protection hidden="1"/>
    </xf>
    <xf numFmtId="2" fontId="3" fillId="19" borderId="0" xfId="0" applyNumberFormat="1" applyFont="1" applyFill="1" applyBorder="1" applyAlignment="1" applyProtection="1">
      <alignment/>
      <protection/>
    </xf>
    <xf numFmtId="0" fontId="2" fillId="19" borderId="0" xfId="0" applyFont="1" applyFill="1" applyAlignment="1" applyProtection="1">
      <alignment horizontal="center"/>
      <protection hidden="1"/>
    </xf>
    <xf numFmtId="4" fontId="24" fillId="19" borderId="0" xfId="0" applyNumberFormat="1" applyFont="1" applyFill="1" applyBorder="1" applyAlignment="1" applyProtection="1">
      <alignment horizontal="center" vertical="center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6" fillId="0" borderId="50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right"/>
      <protection hidden="1"/>
    </xf>
    <xf numFmtId="166" fontId="0" fillId="0" borderId="16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left"/>
    </xf>
    <xf numFmtId="166" fontId="11" fillId="0" borderId="16" xfId="0" applyNumberFormat="1" applyFont="1" applyFill="1" applyBorder="1" applyAlignment="1">
      <alignment horizontal="center" vertical="center" wrapText="1"/>
    </xf>
    <xf numFmtId="166" fontId="0" fillId="0" borderId="47" xfId="0" applyNumberFormat="1" applyFont="1" applyFill="1" applyBorder="1" applyAlignment="1">
      <alignment/>
    </xf>
    <xf numFmtId="166" fontId="11" fillId="0" borderId="47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/>
    </xf>
    <xf numFmtId="166" fontId="11" fillId="0" borderId="0" xfId="0" applyNumberFormat="1" applyFont="1" applyFill="1" applyBorder="1" applyAlignment="1">
      <alignment horizontal="left" vertical="center" wrapText="1"/>
    </xf>
    <xf numFmtId="166" fontId="11" fillId="0" borderId="16" xfId="0" applyNumberFormat="1" applyFont="1" applyFill="1" applyBorder="1" applyAlignment="1">
      <alignment horizontal="left" vertical="center" wrapText="1"/>
    </xf>
    <xf numFmtId="166" fontId="11" fillId="0" borderId="47" xfId="0" applyNumberFormat="1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6" fillId="0" borderId="36" xfId="0" applyFont="1" applyBorder="1" applyAlignment="1" applyProtection="1">
      <alignment/>
      <protection hidden="1"/>
    </xf>
    <xf numFmtId="0" fontId="6" fillId="0" borderId="46" xfId="0" applyFont="1" applyBorder="1" applyAlignment="1" applyProtection="1">
      <alignment horizontal="left"/>
      <protection hidden="1"/>
    </xf>
    <xf numFmtId="166" fontId="3" fillId="0" borderId="46" xfId="57" applyNumberFormat="1" applyFont="1" applyBorder="1" applyAlignment="1" applyProtection="1">
      <alignment/>
      <protection hidden="1"/>
    </xf>
    <xf numFmtId="14" fontId="3" fillId="0" borderId="36" xfId="0" applyNumberFormat="1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47" xfId="0" applyFont="1" applyBorder="1" applyAlignment="1">
      <alignment/>
    </xf>
    <xf numFmtId="0" fontId="12" fillId="0" borderId="4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6" fontId="0" fillId="0" borderId="47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horizontal="center"/>
    </xf>
    <xf numFmtId="166" fontId="26" fillId="0" borderId="47" xfId="0" applyNumberFormat="1" applyFont="1" applyFill="1" applyBorder="1" applyAlignment="1">
      <alignment horizontal="center" vertical="center" wrapText="1"/>
    </xf>
    <xf numFmtId="10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47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30" fillId="0" borderId="16" xfId="0" applyFont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47" xfId="0" applyFont="1" applyBorder="1" applyAlignment="1">
      <alignment/>
    </xf>
    <xf numFmtId="10" fontId="0" fillId="0" borderId="16" xfId="0" applyNumberFormat="1" applyFont="1" applyFill="1" applyBorder="1" applyAlignment="1">
      <alignment/>
    </xf>
    <xf numFmtId="10" fontId="0" fillId="0" borderId="47" xfId="0" applyNumberFormat="1" applyFont="1" applyFill="1" applyBorder="1" applyAlignment="1">
      <alignment/>
    </xf>
    <xf numFmtId="10" fontId="0" fillId="0" borderId="16" xfId="0" applyNumberFormat="1" applyFont="1" applyBorder="1" applyAlignment="1">
      <alignment/>
    </xf>
    <xf numFmtId="10" fontId="0" fillId="0" borderId="47" xfId="0" applyNumberFormat="1" applyFont="1" applyBorder="1" applyAlignment="1">
      <alignment/>
    </xf>
    <xf numFmtId="10" fontId="12" fillId="0" borderId="47" xfId="0" applyNumberFormat="1" applyFont="1" applyFill="1" applyBorder="1" applyAlignment="1">
      <alignment/>
    </xf>
    <xf numFmtId="2" fontId="3" fillId="0" borderId="14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20" xfId="0" applyFont="1" applyBorder="1" applyAlignment="1" applyProtection="1">
      <alignment horizontal="left" vertical="center"/>
      <protection hidden="1"/>
    </xf>
    <xf numFmtId="0" fontId="0" fillId="0" borderId="0" xfId="0" applyNumberFormat="1" applyAlignment="1" applyProtection="1">
      <alignment/>
      <protection hidden="1"/>
    </xf>
    <xf numFmtId="14" fontId="12" fillId="0" borderId="0" xfId="0" applyNumberFormat="1" applyFont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18" borderId="14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42" fillId="0" borderId="0" xfId="0" applyFont="1" applyFill="1" applyBorder="1" applyAlignment="1" applyProtection="1">
      <alignment vertical="center"/>
      <protection hidden="1"/>
    </xf>
    <xf numFmtId="0" fontId="43" fillId="0" borderId="0" xfId="0" applyFont="1" applyFill="1" applyBorder="1" applyAlignment="1" applyProtection="1">
      <alignment horizontal="center" vertical="center"/>
      <protection hidden="1"/>
    </xf>
    <xf numFmtId="0" fontId="44" fillId="0" borderId="0" xfId="0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47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 applyProtection="1">
      <alignment vertical="center"/>
      <protection hidden="1"/>
    </xf>
    <xf numFmtId="4" fontId="10" fillId="0" borderId="13" xfId="0" applyNumberFormat="1" applyFont="1" applyBorder="1" applyAlignment="1" applyProtection="1">
      <alignment horizontal="center" vertical="center" wrapText="1"/>
      <protection hidden="1"/>
    </xf>
    <xf numFmtId="4" fontId="4" fillId="0" borderId="14" xfId="0" applyNumberFormat="1" applyFont="1" applyBorder="1" applyAlignment="1" applyProtection="1">
      <alignment horizontal="center"/>
      <protection hidden="1"/>
    </xf>
    <xf numFmtId="4" fontId="4" fillId="0" borderId="14" xfId="61" applyNumberFormat="1" applyFont="1" applyBorder="1" applyAlignment="1" applyProtection="1">
      <alignment horizontal="center"/>
      <protection hidden="1"/>
    </xf>
    <xf numFmtId="4" fontId="47" fillId="0" borderId="0" xfId="0" applyNumberFormat="1" applyFont="1" applyAlignment="1" applyProtection="1">
      <alignment horizontal="right"/>
      <protection hidden="1"/>
    </xf>
    <xf numFmtId="0" fontId="0" fillId="0" borderId="4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center" vertical="center" wrapText="1"/>
    </xf>
    <xf numFmtId="166" fontId="5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166" fontId="22" fillId="0" borderId="0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54" fillId="0" borderId="0" xfId="0" applyFont="1" applyAlignment="1">
      <alignment vertical="center" wrapText="1"/>
    </xf>
    <xf numFmtId="0" fontId="22" fillId="6" borderId="0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73" fillId="0" borderId="0" xfId="0" applyFont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166" fontId="55" fillId="0" borderId="0" xfId="0" applyNumberFormat="1" applyFont="1" applyFill="1" applyBorder="1" applyAlignment="1">
      <alignment horizontal="center" vertical="center" wrapText="1"/>
    </xf>
    <xf numFmtId="0" fontId="55" fillId="6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 quotePrefix="1">
      <alignment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/>
    </xf>
    <xf numFmtId="3" fontId="0" fillId="0" borderId="51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52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5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center" vertical="center" wrapText="1"/>
    </xf>
    <xf numFmtId="3" fontId="0" fillId="0" borderId="46" xfId="0" applyNumberFormat="1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166" fontId="0" fillId="0" borderId="29" xfId="0" applyNumberFormat="1" applyFont="1" applyFill="1" applyBorder="1" applyAlignment="1">
      <alignment horizontal="center" vertical="center"/>
    </xf>
    <xf numFmtId="166" fontId="0" fillId="0" borderId="13" xfId="0" applyNumberFormat="1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/>
      <protection hidden="1"/>
    </xf>
    <xf numFmtId="0" fontId="0" fillId="2" borderId="24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/>
    </xf>
    <xf numFmtId="49" fontId="11" fillId="2" borderId="24" xfId="0" applyNumberFormat="1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166" fontId="11" fillId="2" borderId="44" xfId="0" applyNumberFormat="1" applyFont="1" applyFill="1" applyBorder="1" applyAlignment="1">
      <alignment horizontal="center" vertical="center" wrapText="1"/>
    </xf>
    <xf numFmtId="166" fontId="11" fillId="2" borderId="24" xfId="0" applyNumberFormat="1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/>
    </xf>
    <xf numFmtId="166" fontId="11" fillId="2" borderId="49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/>
    </xf>
    <xf numFmtId="0" fontId="0" fillId="2" borderId="0" xfId="0" applyFont="1" applyFill="1" applyAlignment="1">
      <alignment/>
    </xf>
    <xf numFmtId="166" fontId="11" fillId="2" borderId="0" xfId="0" applyNumberFormat="1" applyFont="1" applyFill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/>
    </xf>
    <xf numFmtId="49" fontId="11" fillId="2" borderId="13" xfId="0" applyNumberFormat="1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166" fontId="11" fillId="2" borderId="29" xfId="0" applyNumberFormat="1" applyFont="1" applyFill="1" applyBorder="1" applyAlignment="1">
      <alignment horizontal="center" vertical="center" wrapText="1"/>
    </xf>
    <xf numFmtId="166" fontId="11" fillId="2" borderId="13" xfId="0" applyNumberFormat="1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/>
    </xf>
    <xf numFmtId="166" fontId="11" fillId="2" borderId="30" xfId="0" applyNumberFormat="1" applyFont="1" applyFill="1" applyBorder="1" applyAlignment="1">
      <alignment horizontal="center" vertical="center" wrapText="1"/>
    </xf>
    <xf numFmtId="10" fontId="11" fillId="2" borderId="0" xfId="0" applyNumberFormat="1" applyFont="1" applyFill="1" applyAlignment="1">
      <alignment/>
    </xf>
    <xf numFmtId="0" fontId="0" fillId="2" borderId="14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 wrapText="1"/>
    </xf>
    <xf numFmtId="166" fontId="11" fillId="2" borderId="31" xfId="0" applyNumberFormat="1" applyFont="1" applyFill="1" applyBorder="1" applyAlignment="1">
      <alignment horizontal="center" vertical="center" wrapText="1"/>
    </xf>
    <xf numFmtId="166" fontId="11" fillId="2" borderId="14" xfId="0" applyNumberFormat="1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/>
    </xf>
    <xf numFmtId="166" fontId="11" fillId="2" borderId="26" xfId="0" applyNumberFormat="1" applyFont="1" applyFill="1" applyBorder="1" applyAlignment="1">
      <alignment horizontal="center" vertical="center" wrapText="1"/>
    </xf>
    <xf numFmtId="0" fontId="0" fillId="2" borderId="43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/>
    </xf>
    <xf numFmtId="49" fontId="11" fillId="2" borderId="43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 wrapText="1"/>
    </xf>
    <xf numFmtId="166" fontId="11" fillId="2" borderId="45" xfId="0" applyNumberFormat="1" applyFont="1" applyFill="1" applyBorder="1" applyAlignment="1">
      <alignment horizontal="center" vertical="center" wrapText="1"/>
    </xf>
    <xf numFmtId="166" fontId="11" fillId="2" borderId="43" xfId="0" applyNumberFormat="1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/>
    </xf>
    <xf numFmtId="166" fontId="11" fillId="2" borderId="54" xfId="0" applyNumberFormat="1" applyFont="1" applyFill="1" applyBorder="1" applyAlignment="1">
      <alignment horizontal="center" vertical="center" wrapText="1"/>
    </xf>
    <xf numFmtId="10" fontId="26" fillId="2" borderId="0" xfId="0" applyNumberFormat="1" applyFont="1" applyFill="1" applyAlignment="1">
      <alignment/>
    </xf>
    <xf numFmtId="10" fontId="38" fillId="0" borderId="14" xfId="0" applyNumberFormat="1" applyFont="1" applyFill="1" applyBorder="1" applyAlignment="1" applyProtection="1">
      <alignment horizontal="center"/>
      <protection hidden="1"/>
    </xf>
    <xf numFmtId="166" fontId="0" fillId="0" borderId="55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/>
      <protection hidden="1"/>
    </xf>
    <xf numFmtId="0" fontId="12" fillId="6" borderId="31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0" fillId="0" borderId="40" xfId="0" applyNumberFormat="1" applyFont="1" applyFill="1" applyBorder="1" applyAlignment="1">
      <alignment horizontal="center" vertical="center"/>
    </xf>
    <xf numFmtId="49" fontId="0" fillId="0" borderId="42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66" fontId="11" fillId="18" borderId="56" xfId="0" applyNumberFormat="1" applyFont="1" applyFill="1" applyBorder="1" applyAlignment="1">
      <alignment horizontal="center" vertical="center" wrapText="1"/>
    </xf>
    <xf numFmtId="166" fontId="11" fillId="18" borderId="57" xfId="0" applyNumberFormat="1" applyFont="1" applyFill="1" applyBorder="1" applyAlignment="1">
      <alignment horizontal="center" vertical="center" wrapText="1"/>
    </xf>
    <xf numFmtId="166" fontId="11" fillId="18" borderId="58" xfId="0" applyNumberFormat="1" applyFont="1" applyFill="1" applyBorder="1" applyAlignment="1">
      <alignment horizontal="center" vertical="center" wrapText="1"/>
    </xf>
    <xf numFmtId="166" fontId="11" fillId="18" borderId="59" xfId="0" applyNumberFormat="1" applyFont="1" applyFill="1" applyBorder="1" applyAlignment="1">
      <alignment horizontal="center" vertical="center" wrapText="1"/>
    </xf>
    <xf numFmtId="166" fontId="11" fillId="18" borderId="11" xfId="0" applyNumberFormat="1" applyFont="1" applyFill="1" applyBorder="1" applyAlignment="1">
      <alignment horizontal="center" vertical="center" wrapText="1"/>
    </xf>
    <xf numFmtId="166" fontId="11" fillId="18" borderId="15" xfId="0" applyNumberFormat="1" applyFont="1" applyFill="1" applyBorder="1" applyAlignment="1">
      <alignment horizontal="center" vertical="center" wrapText="1"/>
    </xf>
    <xf numFmtId="166" fontId="11" fillId="18" borderId="60" xfId="0" applyNumberFormat="1" applyFont="1" applyFill="1" applyBorder="1" applyAlignment="1">
      <alignment horizontal="center" vertical="center" wrapText="1"/>
    </xf>
    <xf numFmtId="10" fontId="0" fillId="0" borderId="55" xfId="0" applyNumberFormat="1" applyFont="1" applyFill="1" applyBorder="1" applyAlignment="1">
      <alignment horizontal="center" vertical="center"/>
    </xf>
    <xf numFmtId="10" fontId="0" fillId="0" borderId="44" xfId="0" applyNumberFormat="1" applyFont="1" applyFill="1" applyBorder="1" applyAlignment="1">
      <alignment horizontal="center" vertical="center" wrapText="1"/>
    </xf>
    <xf numFmtId="10" fontId="0" fillId="2" borderId="21" xfId="0" applyNumberFormat="1" applyFont="1" applyFill="1" applyBorder="1" applyAlignment="1">
      <alignment horizontal="center" vertical="center"/>
    </xf>
    <xf numFmtId="10" fontId="0" fillId="2" borderId="48" xfId="0" applyNumberFormat="1" applyFont="1" applyFill="1" applyBorder="1" applyAlignment="1">
      <alignment horizontal="center" vertical="center" wrapText="1"/>
    </xf>
    <xf numFmtId="10" fontId="0" fillId="18" borderId="24" xfId="0" applyNumberFormat="1" applyFont="1" applyFill="1" applyBorder="1" applyAlignment="1">
      <alignment horizontal="center" vertical="center"/>
    </xf>
    <xf numFmtId="10" fontId="0" fillId="18" borderId="28" xfId="0" applyNumberFormat="1" applyFont="1" applyFill="1" applyBorder="1" applyAlignment="1">
      <alignment horizontal="center" vertical="center"/>
    </xf>
    <xf numFmtId="10" fontId="0" fillId="18" borderId="24" xfId="0" applyNumberFormat="1" applyFont="1" applyFill="1" applyBorder="1" applyAlignment="1">
      <alignment horizontal="center" vertical="center" wrapText="1"/>
    </xf>
    <xf numFmtId="10" fontId="0" fillId="18" borderId="28" xfId="0" applyNumberFormat="1" applyFont="1" applyFill="1" applyBorder="1" applyAlignment="1">
      <alignment horizontal="center" vertical="center" wrapText="1"/>
    </xf>
    <xf numFmtId="166" fontId="0" fillId="0" borderId="55" xfId="0" applyNumberFormat="1" applyFont="1" applyFill="1" applyBorder="1" applyAlignment="1">
      <alignment horizontal="center" vertical="center"/>
    </xf>
    <xf numFmtId="166" fontId="0" fillId="18" borderId="32" xfId="0" applyNumberFormat="1" applyFont="1" applyFill="1" applyBorder="1" applyAlignment="1">
      <alignment horizontal="center" vertical="center"/>
    </xf>
    <xf numFmtId="0" fontId="0" fillId="2" borderId="47" xfId="0" applyFont="1" applyFill="1" applyBorder="1" applyAlignment="1">
      <alignment/>
    </xf>
    <xf numFmtId="166" fontId="11" fillId="2" borderId="47" xfId="0" applyNumberFormat="1" applyFont="1" applyFill="1" applyBorder="1" applyAlignment="1">
      <alignment/>
    </xf>
    <xf numFmtId="0" fontId="11" fillId="2" borderId="47" xfId="0" applyFont="1" applyFill="1" applyBorder="1" applyAlignment="1">
      <alignment/>
    </xf>
    <xf numFmtId="10" fontId="11" fillId="2" borderId="47" xfId="0" applyNumberFormat="1" applyFont="1" applyFill="1" applyBorder="1" applyAlignment="1">
      <alignment/>
    </xf>
    <xf numFmtId="10" fontId="26" fillId="2" borderId="47" xfId="0" applyNumberFormat="1" applyFont="1" applyFill="1" applyBorder="1" applyAlignment="1">
      <alignment/>
    </xf>
    <xf numFmtId="0" fontId="0" fillId="2" borderId="16" xfId="0" applyFont="1" applyFill="1" applyBorder="1" applyAlignment="1">
      <alignment/>
    </xf>
    <xf numFmtId="166" fontId="11" fillId="2" borderId="16" xfId="0" applyNumberFormat="1" applyFont="1" applyFill="1" applyBorder="1" applyAlignment="1">
      <alignment/>
    </xf>
    <xf numFmtId="10" fontId="11" fillId="2" borderId="16" xfId="0" applyNumberFormat="1" applyFont="1" applyFill="1" applyBorder="1" applyAlignment="1">
      <alignment/>
    </xf>
    <xf numFmtId="10" fontId="26" fillId="2" borderId="16" xfId="0" applyNumberFormat="1" applyFont="1" applyFill="1" applyBorder="1" applyAlignment="1">
      <alignment/>
    </xf>
    <xf numFmtId="0" fontId="76" fillId="0" borderId="33" xfId="0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/>
    </xf>
    <xf numFmtId="49" fontId="76" fillId="0" borderId="24" xfId="0" applyNumberFormat="1" applyFont="1" applyFill="1" applyBorder="1" applyAlignment="1">
      <alignment horizontal="center" vertical="center"/>
    </xf>
    <xf numFmtId="0" fontId="76" fillId="0" borderId="61" xfId="0" applyFont="1" applyFill="1" applyBorder="1" applyAlignment="1">
      <alignment horizontal="center" vertical="center"/>
    </xf>
    <xf numFmtId="0" fontId="76" fillId="0" borderId="14" xfId="0" applyFont="1" applyFill="1" applyBorder="1" applyAlignment="1">
      <alignment horizontal="center" vertical="center"/>
    </xf>
    <xf numFmtId="49" fontId="76" fillId="0" borderId="14" xfId="0" applyNumberFormat="1" applyFont="1" applyFill="1" applyBorder="1" applyAlignment="1">
      <alignment horizontal="center" vertical="center"/>
    </xf>
    <xf numFmtId="0" fontId="76" fillId="0" borderId="26" xfId="0" applyFont="1" applyFill="1" applyBorder="1" applyAlignment="1">
      <alignment horizontal="center" vertical="center"/>
    </xf>
    <xf numFmtId="0" fontId="76" fillId="2" borderId="22" xfId="0" applyFont="1" applyFill="1" applyBorder="1" applyAlignment="1">
      <alignment horizontal="center" vertical="center"/>
    </xf>
    <xf numFmtId="49" fontId="76" fillId="2" borderId="13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76" fillId="0" borderId="0" xfId="0" applyFont="1" applyFill="1" applyBorder="1" applyAlignment="1">
      <alignment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/>
    </xf>
    <xf numFmtId="49" fontId="76" fillId="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/>
    </xf>
    <xf numFmtId="166" fontId="11" fillId="2" borderId="0" xfId="0" applyNumberFormat="1" applyFont="1" applyFill="1" applyBorder="1" applyAlignment="1">
      <alignment/>
    </xf>
    <xf numFmtId="10" fontId="11" fillId="2" borderId="0" xfId="0" applyNumberFormat="1" applyFont="1" applyFill="1" applyBorder="1" applyAlignment="1">
      <alignment/>
    </xf>
    <xf numFmtId="10" fontId="26" fillId="2" borderId="0" xfId="0" applyNumberFormat="1" applyFont="1" applyFill="1" applyBorder="1" applyAlignment="1">
      <alignment/>
    </xf>
    <xf numFmtId="0" fontId="11" fillId="0" borderId="2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49" xfId="0" applyFont="1" applyFill="1" applyBorder="1" applyAlignment="1">
      <alignment horizontal="center" vertical="center" wrapText="1"/>
    </xf>
    <xf numFmtId="166" fontId="11" fillId="18" borderId="24" xfId="0" applyNumberFormat="1" applyFont="1" applyFill="1" applyBorder="1" applyAlignment="1">
      <alignment horizontal="center" vertical="center" wrapText="1"/>
    </xf>
    <xf numFmtId="166" fontId="11" fillId="18" borderId="14" xfId="0" applyNumberFormat="1" applyFont="1" applyFill="1" applyBorder="1" applyAlignment="1">
      <alignment horizontal="center" vertical="center" wrapText="1"/>
    </xf>
    <xf numFmtId="166" fontId="11" fillId="18" borderId="28" xfId="0" applyNumberFormat="1" applyFont="1" applyFill="1" applyBorder="1" applyAlignment="1">
      <alignment horizontal="center" vertical="center" wrapText="1"/>
    </xf>
    <xf numFmtId="166" fontId="11" fillId="18" borderId="13" xfId="0" applyNumberFormat="1" applyFont="1" applyFill="1" applyBorder="1" applyAlignment="1">
      <alignment horizontal="center" vertical="center" wrapText="1"/>
    </xf>
    <xf numFmtId="166" fontId="11" fillId="18" borderId="49" xfId="0" applyNumberFormat="1" applyFont="1" applyFill="1" applyBorder="1" applyAlignment="1">
      <alignment horizontal="center" vertical="center" wrapText="1"/>
    </xf>
    <xf numFmtId="166" fontId="11" fillId="18" borderId="26" xfId="0" applyNumberFormat="1" applyFont="1" applyFill="1" applyBorder="1" applyAlignment="1">
      <alignment horizontal="center" vertical="center" wrapText="1"/>
    </xf>
    <xf numFmtId="166" fontId="11" fillId="18" borderId="23" xfId="0" applyNumberFormat="1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/>
    </xf>
    <xf numFmtId="10" fontId="26" fillId="8" borderId="47" xfId="0" applyNumberFormat="1" applyFont="1" applyFill="1" applyBorder="1" applyAlignment="1">
      <alignment/>
    </xf>
    <xf numFmtId="166" fontId="0" fillId="18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60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62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59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5" xfId="0" applyNumberFormat="1" applyFont="1" applyFill="1" applyBorder="1" applyAlignment="1">
      <alignment horizontal="center" vertical="center"/>
    </xf>
    <xf numFmtId="166" fontId="0" fillId="18" borderId="59" xfId="0" applyNumberFormat="1" applyFont="1" applyFill="1" applyBorder="1" applyAlignment="1">
      <alignment horizontal="center" vertical="center"/>
    </xf>
    <xf numFmtId="166" fontId="0" fillId="18" borderId="59" xfId="0" applyNumberFormat="1" applyFont="1" applyFill="1" applyBorder="1" applyAlignment="1">
      <alignment horizontal="center" vertical="center" wrapText="1"/>
    </xf>
    <xf numFmtId="166" fontId="0" fillId="18" borderId="15" xfId="0" applyNumberFormat="1" applyFont="1" applyFill="1" applyBorder="1" applyAlignment="1">
      <alignment horizontal="center" vertical="center" wrapText="1"/>
    </xf>
    <xf numFmtId="166" fontId="11" fillId="18" borderId="43" xfId="0" applyNumberFormat="1" applyFont="1" applyFill="1" applyBorder="1" applyAlignment="1">
      <alignment horizontal="center" vertical="center" wrapText="1"/>
    </xf>
    <xf numFmtId="0" fontId="0" fillId="18" borderId="46" xfId="0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22" xfId="0" applyFont="1" applyFill="1" applyBorder="1" applyAlignment="1">
      <alignment horizontal="center" vertical="center"/>
    </xf>
    <xf numFmtId="166" fontId="0" fillId="18" borderId="37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53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63" xfId="0" applyNumberFormat="1" applyFont="1" applyFill="1" applyBorder="1" applyAlignment="1" applyProtection="1">
      <alignment horizontal="center" vertical="center" wrapText="1"/>
      <protection locked="0"/>
    </xf>
    <xf numFmtId="3" fontId="0" fillId="18" borderId="64" xfId="0" applyNumberFormat="1" applyFont="1" applyFill="1" applyBorder="1" applyAlignment="1">
      <alignment horizontal="center" vertical="center" wrapText="1"/>
    </xf>
    <xf numFmtId="49" fontId="0" fillId="0" borderId="65" xfId="0" applyNumberFormat="1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54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43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18" borderId="65" xfId="0" applyFont="1" applyFill="1" applyBorder="1" applyAlignment="1">
      <alignment horizontal="center" vertical="center"/>
    </xf>
    <xf numFmtId="0" fontId="0" fillId="18" borderId="54" xfId="0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18" borderId="64" xfId="0" applyNumberFormat="1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0" borderId="66" xfId="0" applyNumberFormat="1" applyFont="1" applyFill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 wrapText="1"/>
    </xf>
    <xf numFmtId="0" fontId="0" fillId="18" borderId="66" xfId="0" applyFont="1" applyFill="1" applyBorder="1" applyAlignment="1">
      <alignment horizontal="center" vertical="center"/>
    </xf>
    <xf numFmtId="0" fontId="0" fillId="18" borderId="30" xfId="0" applyFont="1" applyFill="1" applyBorder="1" applyAlignment="1">
      <alignment horizontal="center" vertical="center"/>
    </xf>
    <xf numFmtId="49" fontId="0" fillId="0" borderId="65" xfId="0" applyNumberFormat="1" applyFont="1" applyFill="1" applyBorder="1" applyAlignment="1">
      <alignment horizontal="center" vertical="center"/>
    </xf>
    <xf numFmtId="166" fontId="0" fillId="18" borderId="59" xfId="0" applyNumberFormat="1" applyFont="1" applyFill="1" applyBorder="1" applyAlignment="1" applyProtection="1">
      <alignment horizontal="center" vertical="center"/>
      <protection locked="0"/>
    </xf>
    <xf numFmtId="166" fontId="0" fillId="18" borderId="15" xfId="0" applyNumberFormat="1" applyFont="1" applyFill="1" applyBorder="1" applyAlignment="1" applyProtection="1">
      <alignment horizontal="center" vertical="center"/>
      <protection locked="0"/>
    </xf>
    <xf numFmtId="166" fontId="0" fillId="18" borderId="62" xfId="0" applyNumberFormat="1" applyFont="1" applyFill="1" applyBorder="1" applyAlignment="1" applyProtection="1">
      <alignment horizontal="center" vertical="center"/>
      <protection locked="0"/>
    </xf>
    <xf numFmtId="0" fontId="12" fillId="6" borderId="28" xfId="0" applyFont="1" applyFill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 wrapText="1"/>
    </xf>
    <xf numFmtId="1" fontId="0" fillId="0" borderId="40" xfId="0" applyNumberFormat="1" applyFont="1" applyFill="1" applyBorder="1" applyAlignment="1">
      <alignment horizontal="center" vertical="center" wrapText="1"/>
    </xf>
    <xf numFmtId="1" fontId="0" fillId="0" borderId="42" xfId="0" applyNumberFormat="1" applyFont="1" applyFill="1" applyBorder="1" applyAlignment="1">
      <alignment horizontal="center" vertical="center" wrapText="1"/>
    </xf>
    <xf numFmtId="1" fontId="0" fillId="0" borderId="39" xfId="0" applyNumberFormat="1" applyFont="1" applyFill="1" applyBorder="1" applyAlignment="1">
      <alignment horizontal="center" vertical="center" wrapText="1"/>
    </xf>
    <xf numFmtId="0" fontId="12" fillId="6" borderId="32" xfId="0" applyFont="1" applyFill="1" applyBorder="1" applyAlignment="1">
      <alignment horizontal="center" vertical="center" wrapText="1"/>
    </xf>
    <xf numFmtId="0" fontId="11" fillId="19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166" fontId="0" fillId="18" borderId="37" xfId="0" applyNumberFormat="1" applyFont="1" applyFill="1" applyBorder="1" applyAlignment="1" applyProtection="1">
      <alignment horizontal="center" vertical="center" wrapText="1"/>
      <protection/>
    </xf>
    <xf numFmtId="166" fontId="0" fillId="18" borderId="38" xfId="0" applyNumberFormat="1" applyFont="1" applyFill="1" applyBorder="1" applyAlignment="1" applyProtection="1">
      <alignment horizontal="center" vertical="center" wrapText="1"/>
      <protection/>
    </xf>
    <xf numFmtId="0" fontId="12" fillId="6" borderId="38" xfId="0" applyFont="1" applyFill="1" applyBorder="1" applyAlignment="1">
      <alignment horizontal="center" vertical="center" wrapText="1"/>
    </xf>
    <xf numFmtId="0" fontId="12" fillId="6" borderId="41" xfId="0" applyFont="1" applyFill="1" applyBorder="1" applyAlignment="1">
      <alignment horizontal="center" vertical="center" wrapText="1"/>
    </xf>
    <xf numFmtId="0" fontId="12" fillId="6" borderId="43" xfId="0" applyFont="1" applyFill="1" applyBorder="1" applyAlignment="1">
      <alignment horizontal="center" vertical="center" wrapText="1"/>
    </xf>
    <xf numFmtId="0" fontId="12" fillId="6" borderId="64" xfId="0" applyFont="1" applyFill="1" applyBorder="1" applyAlignment="1">
      <alignment horizontal="center" vertical="center" wrapText="1"/>
    </xf>
    <xf numFmtId="166" fontId="0" fillId="18" borderId="64" xfId="0" applyNumberFormat="1" applyFont="1" applyFill="1" applyBorder="1" applyAlignment="1" applyProtection="1">
      <alignment horizontal="center" vertical="center" wrapText="1"/>
      <protection/>
    </xf>
    <xf numFmtId="166" fontId="0" fillId="18" borderId="25" xfId="0" applyNumberFormat="1" applyFont="1" applyFill="1" applyBorder="1" applyAlignment="1" applyProtection="1">
      <alignment horizontal="center" vertical="center" wrapText="1"/>
      <protection/>
    </xf>
    <xf numFmtId="166" fontId="0" fillId="18" borderId="14" xfId="0" applyNumberFormat="1" applyFont="1" applyFill="1" applyBorder="1" applyAlignment="1" applyProtection="1">
      <alignment horizontal="center" vertical="center" wrapText="1"/>
      <protection/>
    </xf>
    <xf numFmtId="166" fontId="0" fillId="18" borderId="26" xfId="0" applyNumberFormat="1" applyFont="1" applyFill="1" applyBorder="1" applyAlignment="1" applyProtection="1">
      <alignment horizontal="center" vertical="center" wrapText="1"/>
      <protection/>
    </xf>
    <xf numFmtId="166" fontId="0" fillId="18" borderId="48" xfId="0" applyNumberFormat="1" applyFont="1" applyFill="1" applyBorder="1" applyAlignment="1" applyProtection="1">
      <alignment horizontal="center" vertical="center" wrapText="1"/>
      <protection/>
    </xf>
    <xf numFmtId="166" fontId="0" fillId="18" borderId="28" xfId="0" applyNumberFormat="1" applyFont="1" applyFill="1" applyBorder="1" applyAlignment="1" applyProtection="1">
      <alignment horizontal="center" vertical="center" wrapText="1"/>
      <protection/>
    </xf>
    <xf numFmtId="166" fontId="0" fillId="18" borderId="23" xfId="0" applyNumberFormat="1" applyFont="1" applyFill="1" applyBorder="1" applyAlignment="1" applyProtection="1">
      <alignment horizontal="center" vertical="center" wrapText="1"/>
      <protection/>
    </xf>
    <xf numFmtId="166" fontId="0" fillId="18" borderId="42" xfId="0" applyNumberFormat="1" applyFont="1" applyFill="1" applyBorder="1" applyAlignment="1" applyProtection="1">
      <alignment horizontal="center" vertical="center" wrapText="1"/>
      <protection/>
    </xf>
    <xf numFmtId="166" fontId="0" fillId="18" borderId="13" xfId="0" applyNumberFormat="1" applyFont="1" applyFill="1" applyBorder="1" applyAlignment="1" applyProtection="1">
      <alignment horizontal="center" vertical="center" wrapText="1"/>
      <protection/>
    </xf>
    <xf numFmtId="166" fontId="0" fillId="18" borderId="30" xfId="0" applyNumberFormat="1" applyFont="1" applyFill="1" applyBorder="1" applyAlignment="1" applyProtection="1">
      <alignment horizontal="center" vertical="center" wrapText="1"/>
      <protection/>
    </xf>
    <xf numFmtId="166" fontId="0" fillId="18" borderId="44" xfId="0" applyNumberFormat="1" applyFont="1" applyFill="1" applyBorder="1" applyAlignment="1" applyProtection="1">
      <alignment horizontal="center" vertical="center" wrapText="1"/>
      <protection/>
    </xf>
    <xf numFmtId="166" fontId="0" fillId="18" borderId="51" xfId="0" applyNumberFormat="1" applyFont="1" applyFill="1" applyBorder="1" applyAlignment="1" applyProtection="1">
      <alignment horizontal="center" vertical="center" wrapText="1"/>
      <protection/>
    </xf>
    <xf numFmtId="166" fontId="0" fillId="18" borderId="49" xfId="0" applyNumberFormat="1" applyFont="1" applyFill="1" applyBorder="1" applyAlignment="1" applyProtection="1">
      <alignment horizontal="center" vertical="center" wrapText="1"/>
      <protection/>
    </xf>
    <xf numFmtId="166" fontId="0" fillId="18" borderId="31" xfId="0" applyNumberFormat="1" applyFont="1" applyFill="1" applyBorder="1" applyAlignment="1" applyProtection="1">
      <alignment horizontal="center" vertical="center" wrapText="1"/>
      <protection/>
    </xf>
    <xf numFmtId="166" fontId="0" fillId="18" borderId="19" xfId="0" applyNumberFormat="1" applyFont="1" applyFill="1" applyBorder="1" applyAlignment="1" applyProtection="1">
      <alignment horizontal="center" vertical="center" wrapText="1"/>
      <protection/>
    </xf>
    <xf numFmtId="166" fontId="0" fillId="18" borderId="32" xfId="0" applyNumberFormat="1" applyFont="1" applyFill="1" applyBorder="1" applyAlignment="1" applyProtection="1">
      <alignment horizontal="center" vertical="center" wrapText="1"/>
      <protection/>
    </xf>
    <xf numFmtId="166" fontId="0" fillId="18" borderId="52" xfId="0" applyNumberFormat="1" applyFont="1" applyFill="1" applyBorder="1" applyAlignment="1" applyProtection="1">
      <alignment horizontal="center" vertical="center" wrapText="1"/>
      <protection/>
    </xf>
    <xf numFmtId="166" fontId="0" fillId="18" borderId="29" xfId="0" applyNumberFormat="1" applyFont="1" applyFill="1" applyBorder="1" applyAlignment="1" applyProtection="1">
      <alignment horizontal="center" vertical="center" wrapText="1"/>
      <protection/>
    </xf>
    <xf numFmtId="166" fontId="0" fillId="18" borderId="16" xfId="0" applyNumberFormat="1" applyFont="1" applyFill="1" applyBorder="1" applyAlignment="1" applyProtection="1">
      <alignment horizontal="center" vertical="center" wrapText="1"/>
      <protection/>
    </xf>
    <xf numFmtId="0" fontId="12" fillId="6" borderId="55" xfId="0" applyFont="1" applyFill="1" applyBorder="1" applyAlignment="1">
      <alignment horizontal="center" vertical="center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69" xfId="0" applyFont="1" applyFill="1" applyBorder="1" applyAlignment="1">
      <alignment horizontal="center" vertical="center" wrapText="1"/>
    </xf>
    <xf numFmtId="0" fontId="12" fillId="6" borderId="25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center" vertical="center" wrapText="1"/>
    </xf>
    <xf numFmtId="0" fontId="12" fillId="6" borderId="15" xfId="0" applyFont="1" applyFill="1" applyBorder="1" applyAlignment="1">
      <alignment horizontal="center" vertical="center" wrapText="1"/>
    </xf>
    <xf numFmtId="0" fontId="12" fillId="6" borderId="65" xfId="0" applyFont="1" applyFill="1" applyBorder="1" applyAlignment="1">
      <alignment horizontal="center" vertical="center" wrapText="1"/>
    </xf>
    <xf numFmtId="0" fontId="12" fillId="6" borderId="54" xfId="0" applyFont="1" applyFill="1" applyBorder="1" applyAlignment="1">
      <alignment horizontal="center" vertical="center" wrapText="1"/>
    </xf>
    <xf numFmtId="0" fontId="12" fillId="6" borderId="7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12" fillId="6" borderId="67" xfId="0" applyFont="1" applyFill="1" applyBorder="1" applyAlignment="1">
      <alignment horizontal="left" vertical="center" wrapText="1"/>
    </xf>
    <xf numFmtId="0" fontId="12" fillId="6" borderId="68" xfId="0" applyFont="1" applyFill="1" applyBorder="1" applyAlignment="1">
      <alignment horizontal="left" vertical="center" wrapText="1"/>
    </xf>
    <xf numFmtId="0" fontId="12" fillId="6" borderId="45" xfId="0" applyFont="1" applyFill="1" applyBorder="1" applyAlignment="1">
      <alignment horizontal="left" vertical="center" wrapText="1"/>
    </xf>
    <xf numFmtId="0" fontId="0" fillId="18" borderId="66" xfId="0" applyFont="1" applyFill="1" applyBorder="1" applyAlignment="1">
      <alignment horizontal="center" vertical="center" wrapText="1"/>
    </xf>
    <xf numFmtId="0" fontId="0" fillId="18" borderId="54" xfId="0" applyFont="1" applyFill="1" applyBorder="1" applyAlignment="1">
      <alignment horizontal="center" vertical="center" wrapText="1"/>
    </xf>
    <xf numFmtId="166" fontId="0" fillId="18" borderId="25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9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5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71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7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9" fontId="0" fillId="0" borderId="38" xfId="0" applyNumberFormat="1" applyFont="1" applyFill="1" applyBorder="1" applyAlignment="1">
      <alignment horizontal="center" vertical="center" wrapText="1"/>
    </xf>
    <xf numFmtId="9" fontId="0" fillId="0" borderId="13" xfId="0" applyNumberFormat="1" applyFont="1" applyFill="1" applyBorder="1" applyAlignment="1">
      <alignment horizontal="center" vertical="center" wrapText="1"/>
    </xf>
    <xf numFmtId="166" fontId="0" fillId="0" borderId="38" xfId="0" applyNumberFormat="1" applyFont="1" applyFill="1" applyBorder="1" applyAlignment="1">
      <alignment horizontal="center" vertical="center" wrapText="1"/>
    </xf>
    <xf numFmtId="166" fontId="0" fillId="0" borderId="41" xfId="0" applyNumberFormat="1" applyFont="1" applyFill="1" applyBorder="1" applyAlignment="1">
      <alignment horizontal="center" vertical="center" wrapText="1"/>
    </xf>
    <xf numFmtId="166" fontId="0" fillId="0" borderId="43" xfId="0" applyNumberFormat="1" applyFont="1" applyFill="1" applyBorder="1" applyAlignment="1">
      <alignment horizontal="center" vertical="center" wrapText="1"/>
    </xf>
    <xf numFmtId="9" fontId="0" fillId="0" borderId="27" xfId="0" applyNumberFormat="1" applyFont="1" applyFill="1" applyBorder="1" applyAlignment="1">
      <alignment horizontal="center" vertical="center" wrapText="1"/>
    </xf>
    <xf numFmtId="9" fontId="0" fillId="0" borderId="43" xfId="0" applyNumberFormat="1" applyFont="1" applyFill="1" applyBorder="1" applyAlignment="1">
      <alignment horizontal="center" vertical="center" wrapText="1"/>
    </xf>
    <xf numFmtId="166" fontId="0" fillId="18" borderId="21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47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60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72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8" xfId="0" applyNumberFormat="1" applyFont="1" applyFill="1" applyBorder="1" applyAlignment="1">
      <alignment horizontal="center" vertical="center" wrapText="1"/>
    </xf>
    <xf numFmtId="1" fontId="0" fillId="0" borderId="61" xfId="0" applyNumberFormat="1" applyFont="1" applyFill="1" applyBorder="1" applyAlignment="1">
      <alignment horizontal="center" vertical="center" wrapText="1"/>
    </xf>
    <xf numFmtId="1" fontId="0" fillId="0" borderId="20" xfId="0" applyNumberFormat="1" applyFont="1" applyFill="1" applyBorder="1" applyAlignment="1">
      <alignment horizontal="center" vertical="center" wrapText="1"/>
    </xf>
    <xf numFmtId="1" fontId="0" fillId="0" borderId="22" xfId="0" applyNumberFormat="1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9" fontId="0" fillId="0" borderId="41" xfId="0" applyNumberFormat="1" applyFont="1" applyFill="1" applyBorder="1" applyAlignment="1">
      <alignment horizontal="center" vertical="center" wrapText="1"/>
    </xf>
    <xf numFmtId="1" fontId="0" fillId="0" borderId="66" xfId="0" applyNumberFormat="1" applyFont="1" applyFill="1" applyBorder="1" applyAlignment="1">
      <alignment horizontal="center" vertical="center" wrapText="1"/>
    </xf>
    <xf numFmtId="1" fontId="0" fillId="0" borderId="54" xfId="0" applyNumberFormat="1" applyFont="1" applyFill="1" applyBorder="1" applyAlignment="1">
      <alignment horizontal="center" vertical="center" wrapText="1"/>
    </xf>
    <xf numFmtId="166" fontId="0" fillId="18" borderId="42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6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1" xfId="0" applyNumberFormat="1" applyFont="1" applyFill="1" applyBorder="1" applyAlignment="1" applyProtection="1">
      <alignment horizontal="center" vertical="center" wrapText="1"/>
      <protection locked="0"/>
    </xf>
    <xf numFmtId="3" fontId="0" fillId="18" borderId="66" xfId="0" applyNumberFormat="1" applyFont="1" applyFill="1" applyBorder="1" applyAlignment="1">
      <alignment horizontal="center" vertical="center" wrapText="1"/>
    </xf>
    <xf numFmtId="166" fontId="0" fillId="18" borderId="73" xfId="0" applyNumberFormat="1" applyFont="1" applyFill="1" applyBorder="1" applyAlignment="1" applyProtection="1">
      <alignment horizontal="center" vertical="center" wrapText="1"/>
      <protection locked="0"/>
    </xf>
    <xf numFmtId="3" fontId="0" fillId="18" borderId="65" xfId="0" applyNumberFormat="1" applyFont="1" applyFill="1" applyBorder="1" applyAlignment="1">
      <alignment horizontal="center" vertical="center" wrapText="1"/>
    </xf>
    <xf numFmtId="166" fontId="0" fillId="18" borderId="48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52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62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7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7" xfId="0" applyFont="1" applyFill="1" applyBorder="1" applyAlignment="1">
      <alignment horizontal="left" vertical="center" wrapText="1"/>
    </xf>
    <xf numFmtId="1" fontId="0" fillId="0" borderId="64" xfId="0" applyNumberFormat="1" applyFont="1" applyFill="1" applyBorder="1" applyAlignment="1">
      <alignment horizontal="center" vertical="center" wrapText="1"/>
    </xf>
    <xf numFmtId="1" fontId="0" fillId="0" borderId="30" xfId="0" applyNumberFormat="1" applyFont="1" applyFill="1" applyBorder="1" applyAlignment="1">
      <alignment horizontal="center" vertical="center" wrapText="1"/>
    </xf>
    <xf numFmtId="166" fontId="0" fillId="18" borderId="55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51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59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65" xfId="0" applyNumberFormat="1" applyFont="1" applyFill="1" applyBorder="1" applyAlignment="1">
      <alignment horizontal="center" vertical="center" wrapText="1"/>
    </xf>
    <xf numFmtId="3" fontId="0" fillId="18" borderId="30" xfId="0" applyNumberFormat="1" applyFont="1" applyFill="1" applyBorder="1" applyAlignment="1">
      <alignment horizontal="center" vertical="center" wrapText="1"/>
    </xf>
    <xf numFmtId="166" fontId="0" fillId="18" borderId="69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65" xfId="0" applyFont="1" applyFill="1" applyBorder="1" applyAlignment="1">
      <alignment horizontal="center" vertical="center" wrapText="1"/>
    </xf>
    <xf numFmtId="0" fontId="0" fillId="18" borderId="30" xfId="0" applyFont="1" applyFill="1" applyBorder="1" applyAlignment="1">
      <alignment horizontal="center" vertical="center" wrapText="1"/>
    </xf>
    <xf numFmtId="166" fontId="0" fillId="18" borderId="39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46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36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75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8" xfId="0" applyNumberFormat="1" applyFont="1" applyFill="1" applyBorder="1" applyAlignment="1">
      <alignment horizontal="center" vertical="center" wrapText="1"/>
    </xf>
    <xf numFmtId="1" fontId="0" fillId="0" borderId="41" xfId="0" applyNumberFormat="1" applyFont="1" applyFill="1" applyBorder="1" applyAlignment="1">
      <alignment horizontal="center" vertical="center" wrapText="1"/>
    </xf>
    <xf numFmtId="1" fontId="0" fillId="0" borderId="43" xfId="0" applyNumberFormat="1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0" fillId="18" borderId="54" xfId="0" applyNumberFormat="1" applyFont="1" applyFill="1" applyBorder="1" applyAlignment="1">
      <alignment horizontal="center" vertical="center" wrapText="1"/>
    </xf>
    <xf numFmtId="0" fontId="0" fillId="18" borderId="64" xfId="0" applyFont="1" applyFill="1" applyBorder="1" applyAlignment="1" applyProtection="1">
      <alignment horizontal="center" vertical="center"/>
      <protection locked="0"/>
    </xf>
    <xf numFmtId="0" fontId="0" fillId="18" borderId="66" xfId="0" applyFont="1" applyFill="1" applyBorder="1" applyAlignment="1" applyProtection="1">
      <alignment horizontal="center" vertical="center"/>
      <protection locked="0"/>
    </xf>
    <xf numFmtId="0" fontId="0" fillId="18" borderId="30" xfId="0" applyFont="1" applyFill="1" applyBorder="1" applyAlignment="1" applyProtection="1">
      <alignment horizontal="center" vertical="center"/>
      <protection locked="0"/>
    </xf>
    <xf numFmtId="0" fontId="0" fillId="18" borderId="65" xfId="0" applyFont="1" applyFill="1" applyBorder="1" applyAlignment="1" applyProtection="1">
      <alignment horizontal="center" vertical="center"/>
      <protection locked="0"/>
    </xf>
    <xf numFmtId="0" fontId="0" fillId="18" borderId="54" xfId="0" applyFont="1" applyFill="1" applyBorder="1" applyAlignment="1" applyProtection="1">
      <alignment horizontal="center" vertical="center"/>
      <protection locked="0"/>
    </xf>
    <xf numFmtId="0" fontId="0" fillId="0" borderId="64" xfId="0" applyFont="1" applyFill="1" applyBorder="1" applyAlignment="1">
      <alignment horizontal="center" vertical="center"/>
    </xf>
    <xf numFmtId="0" fontId="0" fillId="18" borderId="46" xfId="0" applyFont="1" applyFill="1" applyBorder="1" applyAlignment="1" applyProtection="1">
      <alignment horizontal="center" vertical="center"/>
      <protection locked="0"/>
    </xf>
    <xf numFmtId="0" fontId="0" fillId="18" borderId="0" xfId="0" applyFont="1" applyFill="1" applyBorder="1" applyAlignment="1" applyProtection="1">
      <alignment horizontal="center" vertical="center"/>
      <protection locked="0"/>
    </xf>
    <xf numFmtId="0" fontId="0" fillId="18" borderId="22" xfId="0" applyFont="1" applyFill="1" applyBorder="1" applyAlignment="1" applyProtection="1">
      <alignment horizontal="center" vertical="center"/>
      <protection locked="0"/>
    </xf>
    <xf numFmtId="3" fontId="0" fillId="18" borderId="64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66" xfId="0" applyFont="1" applyFill="1" applyBorder="1" applyAlignment="1" applyProtection="1">
      <alignment horizontal="center" vertical="center" wrapText="1"/>
      <protection locked="0"/>
    </xf>
    <xf numFmtId="0" fontId="0" fillId="18" borderId="54" xfId="0" applyFont="1" applyFill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Fill="1" applyBorder="1" applyAlignment="1">
      <alignment horizontal="center" vertical="center" wrapText="1"/>
    </xf>
    <xf numFmtId="3" fontId="0" fillId="18" borderId="66" xfId="0" applyNumberFormat="1" applyFont="1" applyFill="1" applyBorder="1" applyAlignment="1" applyProtection="1">
      <alignment horizontal="center" vertical="center" wrapText="1"/>
      <protection locked="0"/>
    </xf>
    <xf numFmtId="3" fontId="0" fillId="18" borderId="65" xfId="0" applyNumberFormat="1" applyFont="1" applyFill="1" applyBorder="1" applyAlignment="1" applyProtection="1">
      <alignment horizontal="center" vertical="center" wrapText="1"/>
      <protection locked="0"/>
    </xf>
    <xf numFmtId="3" fontId="0" fillId="18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18" borderId="65" xfId="0" applyFont="1" applyFill="1" applyBorder="1" applyAlignment="1" applyProtection="1">
      <alignment horizontal="center" vertical="center" wrapText="1"/>
      <protection locked="0"/>
    </xf>
    <xf numFmtId="0" fontId="0" fillId="18" borderId="30" xfId="0" applyFont="1" applyFill="1" applyBorder="1" applyAlignment="1" applyProtection="1">
      <alignment horizontal="center" vertical="center" wrapText="1"/>
      <protection locked="0"/>
    </xf>
    <xf numFmtId="166" fontId="0" fillId="18" borderId="40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0" xfId="0" applyNumberFormat="1" applyFont="1" applyFill="1" applyBorder="1" applyAlignment="1" applyProtection="1">
      <alignment horizontal="center" vertical="center" wrapText="1"/>
      <protection locked="0"/>
    </xf>
    <xf numFmtId="166" fontId="0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4" xfId="0" applyFont="1" applyFill="1" applyBorder="1" applyAlignment="1">
      <alignment horizontal="center" vertical="center"/>
    </xf>
    <xf numFmtId="0" fontId="11" fillId="0" borderId="6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166" fontId="11" fillId="18" borderId="44" xfId="0" applyNumberFormat="1" applyFont="1" applyFill="1" applyBorder="1" applyAlignment="1">
      <alignment horizontal="center" vertical="center" wrapText="1"/>
    </xf>
    <xf numFmtId="166" fontId="11" fillId="18" borderId="24" xfId="0" applyNumberFormat="1" applyFont="1" applyFill="1" applyBorder="1" applyAlignment="1">
      <alignment horizontal="center" vertical="center" wrapText="1"/>
    </xf>
    <xf numFmtId="166" fontId="11" fillId="18" borderId="25" xfId="0" applyNumberFormat="1" applyFont="1" applyFill="1" applyBorder="1" applyAlignment="1">
      <alignment horizontal="center" vertical="center" wrapText="1"/>
    </xf>
    <xf numFmtId="166" fontId="11" fillId="18" borderId="15" xfId="0" applyNumberFormat="1" applyFont="1" applyFill="1" applyBorder="1" applyAlignment="1">
      <alignment horizontal="center" vertical="center" wrapText="1"/>
    </xf>
    <xf numFmtId="166" fontId="11" fillId="18" borderId="31" xfId="0" applyNumberFormat="1" applyFont="1" applyFill="1" applyBorder="1" applyAlignment="1">
      <alignment horizontal="center" vertical="center" wrapText="1"/>
    </xf>
    <xf numFmtId="166" fontId="11" fillId="18" borderId="14" xfId="0" applyNumberFormat="1" applyFont="1" applyFill="1" applyBorder="1" applyAlignment="1">
      <alignment horizontal="center" vertical="center" wrapText="1"/>
    </xf>
    <xf numFmtId="166" fontId="11" fillId="18" borderId="48" xfId="0" applyNumberFormat="1" applyFont="1" applyFill="1" applyBorder="1" applyAlignment="1">
      <alignment horizontal="center" vertical="center" wrapText="1"/>
    </xf>
    <xf numFmtId="166" fontId="11" fillId="18" borderId="62" xfId="0" applyNumberFormat="1" applyFont="1" applyFill="1" applyBorder="1" applyAlignment="1">
      <alignment horizontal="center" vertical="center" wrapText="1"/>
    </xf>
    <xf numFmtId="166" fontId="11" fillId="18" borderId="32" xfId="0" applyNumberFormat="1" applyFont="1" applyFill="1" applyBorder="1" applyAlignment="1">
      <alignment horizontal="center" vertical="center" wrapText="1"/>
    </xf>
    <xf numFmtId="166" fontId="11" fillId="18" borderId="28" xfId="0" applyNumberFormat="1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9" fontId="11" fillId="0" borderId="38" xfId="0" applyNumberFormat="1" applyFont="1" applyFill="1" applyBorder="1" applyAlignment="1">
      <alignment horizontal="center" vertical="center" wrapText="1"/>
    </xf>
    <xf numFmtId="49" fontId="11" fillId="0" borderId="41" xfId="0" applyNumberFormat="1" applyFont="1" applyFill="1" applyBorder="1" applyAlignment="1">
      <alignment horizontal="center" vertical="center" wrapText="1"/>
    </xf>
    <xf numFmtId="49" fontId="11" fillId="0" borderId="43" xfId="0" applyNumberFormat="1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166" fontId="11" fillId="18" borderId="55" xfId="0" applyNumberFormat="1" applyFont="1" applyFill="1" applyBorder="1" applyAlignment="1">
      <alignment horizontal="center" vertical="center" wrapText="1"/>
    </xf>
    <xf numFmtId="166" fontId="11" fillId="18" borderId="59" xfId="0" applyNumberFormat="1" applyFont="1" applyFill="1" applyBorder="1" applyAlignment="1">
      <alignment horizontal="center" vertical="center" wrapText="1"/>
    </xf>
    <xf numFmtId="0" fontId="11" fillId="5" borderId="67" xfId="0" applyFont="1" applyFill="1" applyBorder="1" applyAlignment="1">
      <alignment horizontal="left" vertical="center" wrapText="1"/>
    </xf>
    <xf numFmtId="0" fontId="11" fillId="5" borderId="68" xfId="0" applyFont="1" applyFill="1" applyBorder="1" applyAlignment="1">
      <alignment horizontal="left" vertical="center" wrapText="1"/>
    </xf>
    <xf numFmtId="0" fontId="11" fillId="5" borderId="45" xfId="0" applyFont="1" applyFill="1" applyBorder="1" applyAlignment="1">
      <alignment horizontal="left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10" fontId="11" fillId="18" borderId="44" xfId="0" applyNumberFormat="1" applyFont="1" applyFill="1" applyBorder="1" applyAlignment="1">
      <alignment horizontal="center" vertical="center" wrapText="1"/>
    </xf>
    <xf numFmtId="10" fontId="11" fillId="18" borderId="24" xfId="0" applyNumberFormat="1" applyFont="1" applyFill="1" applyBorder="1" applyAlignment="1">
      <alignment horizontal="center" vertical="center" wrapText="1"/>
    </xf>
    <xf numFmtId="166" fontId="11" fillId="0" borderId="64" xfId="0" applyNumberFormat="1" applyFont="1" applyFill="1" applyBorder="1" applyAlignment="1">
      <alignment horizontal="center" vertical="center" wrapText="1"/>
    </xf>
    <xf numFmtId="166" fontId="11" fillId="0" borderId="66" xfId="0" applyNumberFormat="1" applyFont="1" applyFill="1" applyBorder="1" applyAlignment="1">
      <alignment horizontal="center" vertical="center" wrapText="1"/>
    </xf>
    <xf numFmtId="166" fontId="11" fillId="0" borderId="30" xfId="0" applyNumberFormat="1" applyFont="1" applyFill="1" applyBorder="1" applyAlignment="1">
      <alignment horizontal="center" vertical="center" wrapText="1"/>
    </xf>
    <xf numFmtId="10" fontId="11" fillId="18" borderId="42" xfId="0" applyNumberFormat="1" applyFont="1" applyFill="1" applyBorder="1" applyAlignment="1">
      <alignment horizontal="center" vertical="center" wrapText="1"/>
    </xf>
    <xf numFmtId="10" fontId="11" fillId="18" borderId="11" xfId="0" applyNumberFormat="1" applyFont="1" applyFill="1" applyBorder="1" applyAlignment="1">
      <alignment horizontal="center" vertical="center" wrapText="1"/>
    </xf>
    <xf numFmtId="10" fontId="11" fillId="18" borderId="31" xfId="0" applyNumberFormat="1" applyFont="1" applyFill="1" applyBorder="1" applyAlignment="1">
      <alignment horizontal="center" vertical="center" wrapText="1"/>
    </xf>
    <xf numFmtId="10" fontId="11" fillId="18" borderId="14" xfId="0" applyNumberFormat="1" applyFont="1" applyFill="1" applyBorder="1" applyAlignment="1">
      <alignment horizontal="center" vertical="center" wrapText="1"/>
    </xf>
    <xf numFmtId="49" fontId="79" fillId="0" borderId="38" xfId="0" applyNumberFormat="1" applyFont="1" applyFill="1" applyBorder="1" applyAlignment="1">
      <alignment horizontal="center" vertical="center" wrapText="1"/>
    </xf>
    <xf numFmtId="49" fontId="79" fillId="0" borderId="41" xfId="0" applyNumberFormat="1" applyFont="1" applyFill="1" applyBorder="1" applyAlignment="1">
      <alignment horizontal="center" vertical="center" wrapText="1"/>
    </xf>
    <xf numFmtId="166" fontId="11" fillId="0" borderId="38" xfId="0" applyNumberFormat="1" applyFont="1" applyFill="1" applyBorder="1" applyAlignment="1">
      <alignment horizontal="center" vertical="center" wrapText="1"/>
    </xf>
    <xf numFmtId="166" fontId="11" fillId="0" borderId="41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166" fontId="11" fillId="18" borderId="42" xfId="0" applyNumberFormat="1" applyFont="1" applyFill="1" applyBorder="1" applyAlignment="1">
      <alignment horizontal="center" vertical="center" wrapText="1"/>
    </xf>
    <xf numFmtId="166" fontId="11" fillId="18" borderId="11" xfId="0" applyNumberFormat="1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horizontal="left" vertical="center" wrapText="1"/>
    </xf>
    <xf numFmtId="0" fontId="11" fillId="0" borderId="45" xfId="0" applyFont="1" applyFill="1" applyBorder="1" applyAlignment="1">
      <alignment horizontal="left" vertical="center" wrapText="1"/>
    </xf>
    <xf numFmtId="166" fontId="0" fillId="18" borderId="33" xfId="0" applyNumberFormat="1" applyFont="1" applyFill="1" applyBorder="1" applyAlignment="1">
      <alignment horizontal="center" vertical="center" wrapText="1"/>
    </xf>
    <xf numFmtId="166" fontId="0" fillId="18" borderId="69" xfId="0" applyNumberFormat="1" applyFont="1" applyFill="1" applyBorder="1" applyAlignment="1">
      <alignment horizontal="center" vertical="center" wrapText="1"/>
    </xf>
    <xf numFmtId="49" fontId="76" fillId="0" borderId="27" xfId="0" applyNumberFormat="1" applyFont="1" applyFill="1" applyBorder="1" applyAlignment="1">
      <alignment horizontal="center" vertical="center" wrapText="1"/>
    </xf>
    <xf numFmtId="49" fontId="76" fillId="0" borderId="43" xfId="0" applyNumberFormat="1" applyFont="1" applyFill="1" applyBorder="1" applyAlignment="1">
      <alignment horizontal="center" vertical="center" wrapText="1"/>
    </xf>
    <xf numFmtId="166" fontId="0" fillId="18" borderId="25" xfId="0" applyNumberFormat="1" applyFont="1" applyFill="1" applyBorder="1" applyAlignment="1">
      <alignment horizontal="center" vertical="center"/>
    </xf>
    <xf numFmtId="166" fontId="0" fillId="18" borderId="19" xfId="0" applyNumberFormat="1" applyFont="1" applyFill="1" applyBorder="1" applyAlignment="1">
      <alignment horizontal="center" vertical="center"/>
    </xf>
    <xf numFmtId="166" fontId="0" fillId="18" borderId="15" xfId="0" applyNumberFormat="1" applyFont="1" applyFill="1" applyBorder="1" applyAlignment="1">
      <alignment horizontal="center" vertical="center"/>
    </xf>
    <xf numFmtId="166" fontId="0" fillId="18" borderId="25" xfId="0" applyNumberFormat="1" applyFont="1" applyFill="1" applyBorder="1" applyAlignment="1">
      <alignment horizontal="center" vertical="center" wrapText="1"/>
    </xf>
    <xf numFmtId="166" fontId="0" fillId="18" borderId="19" xfId="0" applyNumberFormat="1" applyFont="1" applyFill="1" applyBorder="1" applyAlignment="1">
      <alignment horizontal="center" vertical="center" wrapText="1"/>
    </xf>
    <xf numFmtId="166" fontId="0" fillId="18" borderId="70" xfId="0" applyNumberFormat="1" applyFont="1" applyFill="1" applyBorder="1" applyAlignment="1">
      <alignment horizontal="center" vertical="center" wrapText="1"/>
    </xf>
    <xf numFmtId="166" fontId="0" fillId="18" borderId="34" xfId="0" applyNumberFormat="1" applyFont="1" applyFill="1" applyBorder="1" applyAlignment="1">
      <alignment horizontal="center" vertical="center"/>
    </xf>
    <xf numFmtId="166" fontId="0" fillId="18" borderId="62" xfId="0" applyNumberFormat="1" applyFont="1" applyFill="1" applyBorder="1" applyAlignment="1">
      <alignment horizontal="center" vertical="center"/>
    </xf>
    <xf numFmtId="166" fontId="0" fillId="18" borderId="74" xfId="0" applyNumberFormat="1" applyFont="1" applyFill="1" applyBorder="1" applyAlignment="1">
      <alignment horizontal="center" vertical="center"/>
    </xf>
    <xf numFmtId="0" fontId="76" fillId="0" borderId="38" xfId="0" applyFont="1" applyFill="1" applyBorder="1" applyAlignment="1">
      <alignment horizontal="center" vertical="center"/>
    </xf>
    <xf numFmtId="0" fontId="76" fillId="0" borderId="41" xfId="0" applyFont="1" applyFill="1" applyBorder="1" applyAlignment="1">
      <alignment horizontal="center" vertical="center"/>
    </xf>
    <xf numFmtId="0" fontId="76" fillId="0" borderId="43" xfId="0" applyFont="1" applyFill="1" applyBorder="1" applyAlignment="1">
      <alignment horizontal="center" vertical="center"/>
    </xf>
    <xf numFmtId="0" fontId="76" fillId="0" borderId="64" xfId="0" applyFont="1" applyFill="1" applyBorder="1" applyAlignment="1">
      <alignment horizontal="center" vertical="center" wrapText="1"/>
    </xf>
    <xf numFmtId="0" fontId="76" fillId="0" borderId="66" xfId="0" applyFont="1" applyFill="1" applyBorder="1" applyAlignment="1">
      <alignment horizontal="center" vertical="center" wrapText="1"/>
    </xf>
    <xf numFmtId="0" fontId="76" fillId="0" borderId="54" xfId="0" applyFont="1" applyFill="1" applyBorder="1" applyAlignment="1">
      <alignment horizontal="center" vertical="center" wrapText="1"/>
    </xf>
    <xf numFmtId="166" fontId="0" fillId="18" borderId="33" xfId="0" applyNumberFormat="1" applyFont="1" applyFill="1" applyBorder="1" applyAlignment="1">
      <alignment horizontal="center" vertical="center"/>
    </xf>
    <xf numFmtId="166" fontId="0" fillId="18" borderId="59" xfId="0" applyNumberFormat="1" applyFont="1" applyFill="1" applyBorder="1" applyAlignment="1">
      <alignment horizontal="center" vertical="center"/>
    </xf>
    <xf numFmtId="0" fontId="76" fillId="0" borderId="67" xfId="0" applyFont="1" applyFill="1" applyBorder="1" applyAlignment="1">
      <alignment vertical="center" wrapText="1"/>
    </xf>
    <xf numFmtId="0" fontId="76" fillId="0" borderId="68" xfId="0" applyFont="1" applyFill="1" applyBorder="1" applyAlignment="1">
      <alignment vertical="center" wrapText="1"/>
    </xf>
    <xf numFmtId="0" fontId="76" fillId="0" borderId="45" xfId="0" applyFont="1" applyFill="1" applyBorder="1" applyAlignment="1">
      <alignment vertical="center" wrapText="1"/>
    </xf>
    <xf numFmtId="0" fontId="76" fillId="0" borderId="38" xfId="0" applyFont="1" applyFill="1" applyBorder="1" applyAlignment="1">
      <alignment horizontal="center" vertical="center" wrapText="1"/>
    </xf>
    <xf numFmtId="0" fontId="76" fillId="0" borderId="41" xfId="0" applyFont="1" applyFill="1" applyBorder="1" applyAlignment="1">
      <alignment horizontal="center" vertical="center" wrapText="1"/>
    </xf>
    <xf numFmtId="0" fontId="76" fillId="0" borderId="43" xfId="0" applyFont="1" applyFill="1" applyBorder="1" applyAlignment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 vertical="center" wrapText="1"/>
    </xf>
    <xf numFmtId="3" fontId="0" fillId="0" borderId="54" xfId="0" applyNumberFormat="1" applyFont="1" applyFill="1" applyBorder="1" applyAlignment="1">
      <alignment horizontal="center" vertical="center" wrapText="1"/>
    </xf>
    <xf numFmtId="166" fontId="0" fillId="0" borderId="64" xfId="0" applyNumberFormat="1" applyFont="1" applyFill="1" applyBorder="1" applyAlignment="1">
      <alignment horizontal="center" vertical="center" wrapText="1"/>
    </xf>
    <xf numFmtId="166" fontId="0" fillId="0" borderId="66" xfId="0" applyNumberFormat="1" applyFont="1" applyFill="1" applyBorder="1" applyAlignment="1">
      <alignment horizontal="center" vertical="center" wrapText="1"/>
    </xf>
    <xf numFmtId="166" fontId="0" fillId="0" borderId="54" xfId="0" applyNumberFormat="1" applyFont="1" applyFill="1" applyBorder="1" applyAlignment="1">
      <alignment horizontal="center" vertical="center" wrapText="1"/>
    </xf>
    <xf numFmtId="10" fontId="0" fillId="18" borderId="25" xfId="0" applyNumberFormat="1" applyFont="1" applyFill="1" applyBorder="1" applyAlignment="1">
      <alignment horizontal="center" vertical="center"/>
    </xf>
    <xf numFmtId="10" fontId="0" fillId="18" borderId="15" xfId="0" applyNumberFormat="1" applyFont="1" applyFill="1" applyBorder="1" applyAlignment="1">
      <alignment horizontal="center" vertical="center"/>
    </xf>
    <xf numFmtId="10" fontId="0" fillId="18" borderId="25" xfId="0" applyNumberFormat="1" applyFont="1" applyFill="1" applyBorder="1" applyAlignment="1">
      <alignment horizontal="center" vertical="center" wrapText="1"/>
    </xf>
    <xf numFmtId="10" fontId="0" fillId="18" borderId="15" xfId="0" applyNumberFormat="1" applyFont="1" applyFill="1" applyBorder="1" applyAlignment="1">
      <alignment horizontal="center" vertical="center" wrapText="1"/>
    </xf>
    <xf numFmtId="166" fontId="0" fillId="18" borderId="59" xfId="0" applyNumberFormat="1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166" fontId="0" fillId="18" borderId="15" xfId="0" applyNumberFormat="1" applyFont="1" applyFill="1" applyBorder="1" applyAlignment="1">
      <alignment horizontal="center" vertical="center" wrapText="1"/>
    </xf>
    <xf numFmtId="166" fontId="0" fillId="18" borderId="34" xfId="0" applyNumberFormat="1" applyFont="1" applyFill="1" applyBorder="1" applyAlignment="1">
      <alignment horizontal="center" vertical="center" wrapText="1"/>
    </xf>
    <xf numFmtId="166" fontId="0" fillId="18" borderId="62" xfId="0" applyNumberFormat="1" applyFont="1" applyFill="1" applyBorder="1" applyAlignment="1">
      <alignment horizontal="center" vertical="center" wrapText="1"/>
    </xf>
    <xf numFmtId="166" fontId="0" fillId="18" borderId="74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12" fillId="6" borderId="37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12" fillId="6" borderId="71" xfId="0" applyFont="1" applyFill="1" applyBorder="1" applyAlignment="1">
      <alignment horizontal="center" vertical="center" wrapText="1"/>
    </xf>
    <xf numFmtId="0" fontId="76" fillId="0" borderId="37" xfId="0" applyFont="1" applyFill="1" applyBorder="1" applyAlignment="1">
      <alignment vertical="center" wrapText="1"/>
    </xf>
    <xf numFmtId="0" fontId="76" fillId="0" borderId="40" xfId="0" applyFont="1" applyFill="1" applyBorder="1" applyAlignment="1">
      <alignment vertical="center" wrapText="1"/>
    </xf>
    <xf numFmtId="0" fontId="76" fillId="0" borderId="21" xfId="0" applyFont="1" applyFill="1" applyBorder="1" applyAlignment="1">
      <alignment vertical="center" wrapText="1"/>
    </xf>
    <xf numFmtId="0" fontId="76" fillId="0" borderId="64" xfId="0" applyFont="1" applyFill="1" applyBorder="1" applyAlignment="1">
      <alignment horizontal="center" vertical="center"/>
    </xf>
    <xf numFmtId="0" fontId="76" fillId="0" borderId="66" xfId="0" applyFont="1" applyFill="1" applyBorder="1" applyAlignment="1">
      <alignment horizontal="center" vertical="center"/>
    </xf>
    <xf numFmtId="0" fontId="76" fillId="0" borderId="54" xfId="0" applyFont="1" applyFill="1" applyBorder="1" applyAlignment="1">
      <alignment horizontal="center" vertical="center"/>
    </xf>
    <xf numFmtId="0" fontId="12" fillId="6" borderId="61" xfId="0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31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 wrapText="1"/>
    </xf>
    <xf numFmtId="0" fontId="12" fillId="6" borderId="26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left" vertical="center" wrapText="1"/>
    </xf>
    <xf numFmtId="0" fontId="11" fillId="2" borderId="45" xfId="0" applyFont="1" applyFill="1" applyBorder="1" applyAlignment="1">
      <alignment horizontal="left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43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2" fillId="6" borderId="63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60" xfId="0" applyFont="1" applyFill="1" applyBorder="1" applyAlignment="1">
      <alignment horizontal="center" vertical="center" wrapText="1"/>
    </xf>
    <xf numFmtId="0" fontId="11" fillId="2" borderId="67" xfId="0" applyFont="1" applyFill="1" applyBorder="1" applyAlignment="1">
      <alignment horizontal="left" vertical="center" wrapText="1"/>
    </xf>
    <xf numFmtId="0" fontId="11" fillId="2" borderId="68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quotePrefix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166" fontId="0" fillId="0" borderId="24" xfId="0" applyNumberFormat="1" applyFont="1" applyFill="1" applyBorder="1" applyAlignment="1">
      <alignment horizontal="center" vertical="center"/>
    </xf>
    <xf numFmtId="166" fontId="0" fillId="0" borderId="14" xfId="0" applyNumberFormat="1" applyFont="1" applyFill="1" applyBorder="1" applyAlignment="1">
      <alignment horizontal="center" vertical="center"/>
    </xf>
    <xf numFmtId="3" fontId="0" fillId="0" borderId="49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166" fontId="0" fillId="0" borderId="49" xfId="0" applyNumberFormat="1" applyFont="1" applyFill="1" applyBorder="1" applyAlignment="1">
      <alignment horizontal="center" vertical="center" wrapText="1"/>
    </xf>
    <xf numFmtId="166" fontId="0" fillId="0" borderId="26" xfId="0" applyNumberFormat="1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vertical="center" wrapText="1"/>
    </xf>
    <xf numFmtId="166" fontId="0" fillId="0" borderId="65" xfId="0" applyNumberFormat="1" applyFont="1" applyFill="1" applyBorder="1" applyAlignment="1">
      <alignment horizontal="center" vertical="center" wrapText="1"/>
    </xf>
    <xf numFmtId="166" fontId="0" fillId="0" borderId="30" xfId="0" applyNumberFormat="1" applyFont="1" applyFill="1" applyBorder="1" applyAlignment="1">
      <alignment horizontal="center" vertical="center" wrapText="1"/>
    </xf>
    <xf numFmtId="166" fontId="0" fillId="0" borderId="13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166" fontId="0" fillId="0" borderId="27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166" fontId="0" fillId="0" borderId="55" xfId="0" applyNumberFormat="1" applyFont="1" applyFill="1" applyBorder="1" applyAlignment="1">
      <alignment horizontal="center" vertical="center" wrapText="1"/>
    </xf>
    <xf numFmtId="166" fontId="0" fillId="0" borderId="69" xfId="0" applyNumberFormat="1" applyFont="1" applyFill="1" applyBorder="1" applyAlignment="1">
      <alignment horizontal="center" vertical="center" wrapText="1"/>
    </xf>
    <xf numFmtId="166" fontId="0" fillId="0" borderId="25" xfId="0" applyNumberFormat="1" applyFont="1" applyFill="1" applyBorder="1" applyAlignment="1">
      <alignment horizontal="center" vertical="center" wrapText="1"/>
    </xf>
    <xf numFmtId="166" fontId="0" fillId="0" borderId="15" xfId="0" applyNumberFormat="1" applyFont="1" applyFill="1" applyBorder="1" applyAlignment="1">
      <alignment horizontal="center" vertical="center" wrapText="1"/>
    </xf>
    <xf numFmtId="166" fontId="0" fillId="0" borderId="70" xfId="0" applyNumberFormat="1" applyFont="1" applyFill="1" applyBorder="1" applyAlignment="1">
      <alignment horizontal="center" vertical="center" wrapText="1"/>
    </xf>
    <xf numFmtId="166" fontId="0" fillId="0" borderId="59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166" fontId="0" fillId="0" borderId="42" xfId="0" applyNumberFormat="1" applyFont="1" applyFill="1" applyBorder="1" applyAlignment="1">
      <alignment horizontal="center" vertical="center" wrapText="1"/>
    </xf>
    <xf numFmtId="166" fontId="0" fillId="0" borderId="11" xfId="0" applyNumberFormat="1" applyFont="1" applyFill="1" applyBorder="1" applyAlignment="1">
      <alignment horizontal="center" vertical="center" wrapText="1"/>
    </xf>
    <xf numFmtId="166" fontId="0" fillId="0" borderId="73" xfId="0" applyNumberFormat="1" applyFont="1" applyFill="1" applyBorder="1" applyAlignment="1">
      <alignment horizontal="center" vertical="center" wrapText="1"/>
    </xf>
    <xf numFmtId="3" fontId="0" fillId="0" borderId="65" xfId="0" applyNumberFormat="1" applyFont="1" applyFill="1" applyBorder="1" applyAlignment="1">
      <alignment horizontal="center" vertical="center" wrapText="1"/>
    </xf>
    <xf numFmtId="166" fontId="0" fillId="0" borderId="39" xfId="0" applyNumberFormat="1" applyFont="1" applyFill="1" applyBorder="1" applyAlignment="1">
      <alignment horizontal="center" vertical="center" wrapText="1"/>
    </xf>
    <xf numFmtId="166" fontId="0" fillId="0" borderId="36" xfId="0" applyNumberFormat="1" applyFont="1" applyFill="1" applyBorder="1" applyAlignment="1">
      <alignment horizontal="center" vertical="center" wrapText="1"/>
    </xf>
    <xf numFmtId="166" fontId="0" fillId="0" borderId="75" xfId="0" applyNumberFormat="1" applyFont="1" applyFill="1" applyBorder="1" applyAlignment="1">
      <alignment horizontal="center" vertical="center" wrapText="1"/>
    </xf>
    <xf numFmtId="1" fontId="0" fillId="0" borderId="35" xfId="0" applyNumberFormat="1" applyFont="1" applyFill="1" applyBorder="1" applyAlignment="1">
      <alignment horizontal="center" vertical="center" wrapText="1"/>
    </xf>
    <xf numFmtId="166" fontId="0" fillId="0" borderId="48" xfId="0" applyNumberFormat="1" applyFont="1" applyFill="1" applyBorder="1" applyAlignment="1">
      <alignment horizontal="center" vertical="center" wrapText="1"/>
    </xf>
    <xf numFmtId="166" fontId="0" fillId="0" borderId="62" xfId="0" applyNumberFormat="1" applyFont="1" applyFill="1" applyBorder="1" applyAlignment="1">
      <alignment horizontal="center" vertical="center" wrapText="1"/>
    </xf>
    <xf numFmtId="166" fontId="0" fillId="0" borderId="74" xfId="0" applyNumberFormat="1" applyFont="1" applyFill="1" applyBorder="1" applyAlignment="1">
      <alignment horizontal="center" vertical="center" wrapText="1"/>
    </xf>
    <xf numFmtId="0" fontId="0" fillId="0" borderId="37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 wrapText="1"/>
    </xf>
    <xf numFmtId="49" fontId="0" fillId="0" borderId="27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43" xfId="0" applyFont="1" applyBorder="1" applyAlignment="1">
      <alignment horizontal="center" vertical="center" wrapText="1"/>
    </xf>
    <xf numFmtId="0" fontId="48" fillId="0" borderId="0" xfId="0" applyNumberFormat="1" applyFont="1" applyAlignment="1" applyProtection="1">
      <alignment horizontal="right" wrapText="1"/>
      <protection/>
    </xf>
    <xf numFmtId="0" fontId="49" fillId="0" borderId="0" xfId="0" applyNumberFormat="1" applyFont="1" applyAlignment="1" applyProtection="1">
      <alignment horizontal="right" wrapText="1"/>
      <protection/>
    </xf>
    <xf numFmtId="0" fontId="10" fillId="0" borderId="27" xfId="0" applyFont="1" applyBorder="1" applyAlignment="1" applyProtection="1">
      <alignment horizontal="center" vertical="center" wrapText="1"/>
      <protection hidden="1"/>
    </xf>
    <xf numFmtId="0" fontId="10" fillId="0" borderId="13" xfId="0" applyFont="1" applyBorder="1" applyAlignment="1" applyProtection="1">
      <alignment horizontal="center" vertical="center" wrapText="1"/>
      <protection hidden="1"/>
    </xf>
    <xf numFmtId="0" fontId="10" fillId="0" borderId="18" xfId="0" applyFont="1" applyBorder="1" applyAlignment="1" applyProtection="1">
      <alignment horizontal="center" vertical="center" wrapText="1"/>
      <protection hidden="1"/>
    </xf>
    <xf numFmtId="0" fontId="10" fillId="0" borderId="15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left"/>
      <protection hidden="1"/>
    </xf>
    <xf numFmtId="0" fontId="3" fillId="0" borderId="46" xfId="0" applyFont="1" applyBorder="1" applyAlignment="1" applyProtection="1">
      <alignment horizontal="left"/>
      <protection hidden="1"/>
    </xf>
    <xf numFmtId="4" fontId="10" fillId="0" borderId="27" xfId="0" applyNumberFormat="1" applyFont="1" applyBorder="1" applyAlignment="1" applyProtection="1">
      <alignment horizontal="center" vertical="center" wrapText="1"/>
      <protection hidden="1"/>
    </xf>
    <xf numFmtId="4" fontId="10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2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3" fillId="0" borderId="16" xfId="0" applyFont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10"/>
      </font>
    </dxf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7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49</xdr:row>
      <xdr:rowOff>0</xdr:rowOff>
    </xdr:from>
    <xdr:to>
      <xdr:col>4</xdr:col>
      <xdr:colOff>428625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4543425" y="8477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ragmaticaCTT"/>
              <a:ea typeface="PragmaticaCTT"/>
              <a:cs typeface="PragmaticaCTT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28</xdr:row>
      <xdr:rowOff>171450</xdr:rowOff>
    </xdr:from>
    <xdr:to>
      <xdr:col>5</xdr:col>
      <xdr:colOff>85725</xdr:colOff>
      <xdr:row>30</xdr:row>
      <xdr:rowOff>57150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4972050"/>
          <a:ext cx="1057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2:B48"/>
  <sheetViews>
    <sheetView view="pageBreakPreview" zoomScale="120" zoomScaleNormal="120" zoomScaleSheetLayoutView="12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11" width="8.625" style="0" customWidth="1"/>
  </cols>
  <sheetData>
    <row r="1" ht="11.25" customHeight="1"/>
    <row r="2" ht="18">
      <c r="B2" s="334" t="s">
        <v>182</v>
      </c>
    </row>
    <row r="3" ht="9" customHeight="1"/>
    <row r="4" ht="12.75">
      <c r="B4" t="s">
        <v>165</v>
      </c>
    </row>
    <row r="5" ht="12.75">
      <c r="A5" t="s">
        <v>170</v>
      </c>
    </row>
    <row r="6" ht="9" customHeight="1"/>
    <row r="7" ht="12.75">
      <c r="B7" t="s">
        <v>181</v>
      </c>
    </row>
    <row r="8" ht="14.25" customHeight="1">
      <c r="B8" t="s">
        <v>180</v>
      </c>
    </row>
    <row r="9" ht="12.75">
      <c r="A9" t="s">
        <v>193</v>
      </c>
    </row>
    <row r="10" ht="12.75">
      <c r="A10" t="s">
        <v>171</v>
      </c>
    </row>
    <row r="11" ht="12.75">
      <c r="A11" t="s">
        <v>200</v>
      </c>
    </row>
    <row r="12" ht="12.75">
      <c r="B12" t="s">
        <v>201</v>
      </c>
    </row>
    <row r="13" ht="12.75">
      <c r="B13" t="s">
        <v>202</v>
      </c>
    </row>
    <row r="14" ht="12.75">
      <c r="B14" t="s">
        <v>203</v>
      </c>
    </row>
    <row r="15" ht="12.75">
      <c r="B15" t="s">
        <v>204</v>
      </c>
    </row>
    <row r="16" ht="15.75" customHeight="1">
      <c r="B16" t="s">
        <v>179</v>
      </c>
    </row>
    <row r="17" ht="12.75">
      <c r="A17" t="s">
        <v>186</v>
      </c>
    </row>
    <row r="18" ht="12.75">
      <c r="A18" t="s">
        <v>187</v>
      </c>
    </row>
    <row r="19" ht="12.75" customHeight="1">
      <c r="A19" t="s">
        <v>194</v>
      </c>
    </row>
    <row r="20" ht="12.75" customHeight="1">
      <c r="B20" t="s">
        <v>195</v>
      </c>
    </row>
    <row r="21" ht="12.75" customHeight="1">
      <c r="A21" t="s">
        <v>196</v>
      </c>
    </row>
    <row r="22" ht="12.75" customHeight="1">
      <c r="B22" t="s">
        <v>212</v>
      </c>
    </row>
    <row r="23" ht="12.75" customHeight="1">
      <c r="A23" t="s">
        <v>214</v>
      </c>
    </row>
    <row r="24" ht="12.75" customHeight="1">
      <c r="A24" t="s">
        <v>213</v>
      </c>
    </row>
    <row r="25" ht="15.75" customHeight="1">
      <c r="B25" t="s">
        <v>172</v>
      </c>
    </row>
    <row r="26" ht="12.75">
      <c r="A26" t="s">
        <v>197</v>
      </c>
    </row>
    <row r="27" ht="12.75">
      <c r="A27" t="s">
        <v>198</v>
      </c>
    </row>
    <row r="28" ht="12.75">
      <c r="A28" t="s">
        <v>205</v>
      </c>
    </row>
    <row r="29" ht="12.75">
      <c r="A29" t="s">
        <v>207</v>
      </c>
    </row>
    <row r="30" ht="12.75">
      <c r="A30" t="s">
        <v>206</v>
      </c>
    </row>
    <row r="31" ht="6" customHeight="1"/>
    <row r="32" ht="12.75">
      <c r="B32" t="s">
        <v>209</v>
      </c>
    </row>
    <row r="33" ht="12.75">
      <c r="A33" t="s">
        <v>208</v>
      </c>
    </row>
    <row r="34" ht="12.75">
      <c r="B34" t="s">
        <v>173</v>
      </c>
    </row>
    <row r="35" ht="12.75">
      <c r="B35" t="s">
        <v>188</v>
      </c>
    </row>
    <row r="36" ht="12.75">
      <c r="B36" t="s">
        <v>178</v>
      </c>
    </row>
    <row r="37" ht="12.75">
      <c r="B37" t="s">
        <v>174</v>
      </c>
    </row>
    <row r="38" ht="12.75">
      <c r="B38" t="s">
        <v>175</v>
      </c>
    </row>
    <row r="39" ht="12.75">
      <c r="A39" t="s">
        <v>176</v>
      </c>
    </row>
    <row r="40" ht="12.75">
      <c r="A40" t="s">
        <v>177</v>
      </c>
    </row>
    <row r="41" ht="15" customHeight="1">
      <c r="B41" t="s">
        <v>199</v>
      </c>
    </row>
    <row r="42" ht="9.75" customHeight="1"/>
    <row r="43" ht="12.75">
      <c r="B43" t="s">
        <v>183</v>
      </c>
    </row>
    <row r="44" ht="12.75">
      <c r="A44" t="s">
        <v>191</v>
      </c>
    </row>
    <row r="45" ht="8.25" customHeight="1"/>
    <row r="46" ht="12.75">
      <c r="B46" t="s">
        <v>192</v>
      </c>
    </row>
    <row r="47" ht="12.75">
      <c r="A47" t="s">
        <v>184</v>
      </c>
    </row>
    <row r="48" ht="12.75">
      <c r="A48" t="s">
        <v>185</v>
      </c>
    </row>
  </sheetData>
  <sheetProtection/>
  <printOptions/>
  <pageMargins left="0.59" right="0.38" top="0.64" bottom="0.62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15"/>
  <sheetViews>
    <sheetView tabSelected="1" zoomScale="150" zoomScaleNormal="150" zoomScalePageLayoutView="0" workbookViewId="0" topLeftCell="A1">
      <selection activeCell="B7" sqref="B7"/>
    </sheetView>
  </sheetViews>
  <sheetFormatPr defaultColWidth="9.00390625" defaultRowHeight="12.75"/>
  <cols>
    <col min="1" max="1" width="5.625" style="0" customWidth="1"/>
    <col min="2" max="2" width="4.00390625" style="0" customWidth="1"/>
    <col min="3" max="3" width="9.625" style="0" customWidth="1"/>
  </cols>
  <sheetData>
    <row r="3" ht="15.75">
      <c r="B3" s="246" t="s">
        <v>211</v>
      </c>
    </row>
    <row r="7" spans="2:3" ht="12.75">
      <c r="B7" s="321" t="s">
        <v>263</v>
      </c>
      <c r="C7" s="322" t="s">
        <v>169</v>
      </c>
    </row>
    <row r="13" spans="2:4" ht="12.75">
      <c r="B13" s="332" t="s">
        <v>162</v>
      </c>
      <c r="D13" s="333" t="s">
        <v>167</v>
      </c>
    </row>
    <row r="14" ht="12.75">
      <c r="D14" s="333" t="s">
        <v>168</v>
      </c>
    </row>
    <row r="15" ht="12.75">
      <c r="D15" s="333" t="s">
        <v>166</v>
      </c>
    </row>
  </sheetData>
  <sheetProtection/>
  <dataValidations count="1">
    <dataValidation type="list" allowBlank="1" showInputMessage="1" prompt="В случае использования формата &quot;ставка без комиссий&quot; в данной ячейке указывается отметка &quot;Х&quot; (путем выбора из списка)." sqref="B7">
      <formula1>"Х,,"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AE7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25.25390625" style="68" customWidth="1"/>
    <col min="2" max="2" width="14.75390625" style="69" customWidth="1"/>
    <col min="3" max="3" width="10.375" style="70" customWidth="1"/>
    <col min="4" max="4" width="13.375" style="70" customWidth="1"/>
    <col min="5" max="5" width="14.75390625" style="70" customWidth="1"/>
    <col min="6" max="6" width="44.375" style="70" customWidth="1"/>
    <col min="7" max="7" width="9.375" style="70" customWidth="1"/>
    <col min="8" max="8" width="12.00390625" style="71" customWidth="1"/>
    <col min="9" max="10" width="14.625" style="70" customWidth="1"/>
    <col min="11" max="11" width="14.625" style="67" customWidth="1"/>
    <col min="12" max="12" width="14.375" style="70" customWidth="1"/>
    <col min="13" max="15" width="18.125" style="70" customWidth="1"/>
    <col min="16" max="16" width="3.625" style="70" customWidth="1"/>
    <col min="17" max="20" width="9.00390625" style="70" customWidth="1"/>
    <col min="21" max="21" width="9.625" style="70" customWidth="1"/>
    <col min="22" max="23" width="10.375" style="70" customWidth="1"/>
    <col min="24" max="29" width="9.00390625" style="70" customWidth="1"/>
    <col min="30" max="30" width="10.375" style="70" customWidth="1"/>
    <col min="31" max="16384" width="9.00390625" style="70" customWidth="1"/>
  </cols>
  <sheetData>
    <row r="1" spans="13:24" ht="18" customHeight="1">
      <c r="M1" s="609"/>
      <c r="N1" s="609"/>
      <c r="O1" s="609"/>
      <c r="P1" s="72"/>
      <c r="R1" s="70">
        <f>РАСЧЕТ!D29</f>
        <v>36</v>
      </c>
      <c r="S1" s="574">
        <f>IF(РАСЧЕТ!F36&lt;10,0,IF(AND(РАСЧЕТ!F36&gt;=10,РАСЧЕТ!F36&lt;20),10,IF(AND(РАСЧЕТ!F36&gt;=20,РАСЧЕТ!F36&lt;30),20,IF(AND(РАСЧЕТ!F36&gt;=30,РАСЧЕТ!F36&lt;50),30,50))))</f>
        <v>10</v>
      </c>
      <c r="T1" s="70">
        <f>РАСЧЕТ!Z2</f>
        <v>1</v>
      </c>
      <c r="U1" s="70" t="str">
        <f>РАСЧЕТ!D27</f>
        <v>да</v>
      </c>
      <c r="V1" s="70">
        <f>РАСЧЕТ!AW2</f>
        <v>1</v>
      </c>
      <c r="W1" s="70">
        <f>РАСЧЕТ!AM2</f>
        <v>1</v>
      </c>
      <c r="X1" s="110" t="str">
        <f>IF(W1=1,"АВТОСТАТУС",IF(W1=2,"АВТОЭКСПРЕСС-КРЕДИТ","АЭК БЕЗ СТРАХОВКИ"))</f>
        <v>АВТОСТАТУС</v>
      </c>
    </row>
    <row r="2" spans="13:24" ht="14.25" customHeight="1">
      <c r="M2" s="73"/>
      <c r="N2" s="73"/>
      <c r="O2" s="73"/>
      <c r="P2" s="73"/>
      <c r="S2" s="70">
        <f>IF(AND(РАСЧЕТ!F36&gt;=20,РАСЧЕТ!F36&lt;30),20,30)</f>
        <v>30</v>
      </c>
      <c r="W2" s="70">
        <f>РАСЧЕТ!AH2</f>
        <v>1</v>
      </c>
      <c r="X2" s="110" t="str">
        <f>IF(W2=2,"ПОДЕРЖАННЫЕ","НОВЫЕ")</f>
        <v>НОВЫЕ</v>
      </c>
    </row>
    <row r="3" spans="1:24" s="77" customFormat="1" ht="15.75" customHeight="1" thickBot="1">
      <c r="A3" s="74" t="s">
        <v>19</v>
      </c>
      <c r="B3" s="75"/>
      <c r="C3" s="75"/>
      <c r="D3" s="75"/>
      <c r="E3" s="75"/>
      <c r="F3" s="75"/>
      <c r="G3" s="75"/>
      <c r="H3" s="75"/>
      <c r="I3" s="76"/>
      <c r="J3" s="76"/>
      <c r="K3" s="76"/>
      <c r="L3" s="76"/>
      <c r="M3" s="76"/>
      <c r="N3" s="76"/>
      <c r="O3" s="76"/>
      <c r="P3" s="261"/>
      <c r="W3" s="70">
        <f>РАСЧЕТ!AR2</f>
        <v>1</v>
      </c>
      <c r="X3" s="282" t="str">
        <f>LOOKUP(W3,РАСЧЕТ!AN2:AN6,РАСЧЕТ!AO2:AO6)</f>
        <v>БАЗОВАЯ</v>
      </c>
    </row>
    <row r="4" spans="1:16" s="77" customFormat="1" ht="21.75" customHeight="1">
      <c r="A4" s="610" t="s">
        <v>20</v>
      </c>
      <c r="B4" s="577" t="s">
        <v>21</v>
      </c>
      <c r="C4" s="577" t="s">
        <v>13</v>
      </c>
      <c r="D4" s="577" t="s">
        <v>22</v>
      </c>
      <c r="E4" s="577" t="s">
        <v>23</v>
      </c>
      <c r="F4" s="577" t="s">
        <v>24</v>
      </c>
      <c r="G4" s="577" t="s">
        <v>25</v>
      </c>
      <c r="H4" s="580" t="s">
        <v>26</v>
      </c>
      <c r="I4" s="600" t="s">
        <v>260</v>
      </c>
      <c r="J4" s="601"/>
      <c r="K4" s="601"/>
      <c r="L4" s="602"/>
      <c r="M4" s="600" t="s">
        <v>261</v>
      </c>
      <c r="N4" s="601"/>
      <c r="O4" s="602"/>
      <c r="P4" s="259"/>
    </row>
    <row r="5" spans="1:25" s="77" customFormat="1" ht="18.75" customHeight="1">
      <c r="A5" s="611"/>
      <c r="B5" s="578"/>
      <c r="C5" s="578"/>
      <c r="D5" s="578"/>
      <c r="E5" s="578"/>
      <c r="F5" s="578"/>
      <c r="G5" s="578"/>
      <c r="H5" s="560"/>
      <c r="I5" s="603" t="s">
        <v>27</v>
      </c>
      <c r="J5" s="604"/>
      <c r="K5" s="605"/>
      <c r="L5" s="606" t="s">
        <v>28</v>
      </c>
      <c r="M5" s="603" t="s">
        <v>27</v>
      </c>
      <c r="N5" s="604"/>
      <c r="O5" s="608"/>
      <c r="P5" s="259"/>
      <c r="Q5" s="77" t="s">
        <v>159</v>
      </c>
      <c r="Y5" s="77" t="s">
        <v>160</v>
      </c>
    </row>
    <row r="6" spans="1:31" s="77" customFormat="1" ht="42" customHeight="1" thickBot="1">
      <c r="A6" s="612"/>
      <c r="B6" s="579"/>
      <c r="C6" s="579"/>
      <c r="D6" s="579"/>
      <c r="E6" s="579"/>
      <c r="F6" s="579"/>
      <c r="G6" s="579"/>
      <c r="H6" s="607"/>
      <c r="I6" s="78" t="s">
        <v>255</v>
      </c>
      <c r="J6" s="567" t="s">
        <v>256</v>
      </c>
      <c r="K6" s="79" t="s">
        <v>29</v>
      </c>
      <c r="L6" s="607"/>
      <c r="M6" s="78" t="s">
        <v>255</v>
      </c>
      <c r="N6" s="567" t="s">
        <v>256</v>
      </c>
      <c r="O6" s="80" t="s">
        <v>29</v>
      </c>
      <c r="P6" s="259"/>
      <c r="Q6" s="280"/>
      <c r="R6" s="281" t="s">
        <v>7</v>
      </c>
      <c r="S6" s="281" t="s">
        <v>154</v>
      </c>
      <c r="T6" s="281" t="s">
        <v>158</v>
      </c>
      <c r="U6" s="281" t="s">
        <v>155</v>
      </c>
      <c r="V6" s="281" t="s">
        <v>156</v>
      </c>
      <c r="W6" s="281" t="s">
        <v>157</v>
      </c>
      <c r="Y6" s="280"/>
      <c r="Z6" s="281" t="s">
        <v>7</v>
      </c>
      <c r="AA6" s="281" t="s">
        <v>154</v>
      </c>
      <c r="AB6" s="281" t="s">
        <v>158</v>
      </c>
      <c r="AC6" s="281" t="s">
        <v>155</v>
      </c>
      <c r="AD6" s="281" t="s">
        <v>156</v>
      </c>
      <c r="AE6" s="281" t="s">
        <v>157</v>
      </c>
    </row>
    <row r="7" spans="1:30" s="83" customFormat="1" ht="13.5" customHeight="1">
      <c r="A7" s="552" t="s">
        <v>30</v>
      </c>
      <c r="B7" s="555" t="s">
        <v>31</v>
      </c>
      <c r="C7" s="545" t="s">
        <v>32</v>
      </c>
      <c r="D7" s="81" t="s">
        <v>33</v>
      </c>
      <c r="E7" s="545" t="s">
        <v>34</v>
      </c>
      <c r="F7" s="545" t="s">
        <v>35</v>
      </c>
      <c r="G7" s="544" t="s">
        <v>36</v>
      </c>
      <c r="H7" s="537" t="s">
        <v>37</v>
      </c>
      <c r="I7" s="136">
        <v>0.19</v>
      </c>
      <c r="J7" s="137">
        <v>0.195</v>
      </c>
      <c r="K7" s="137">
        <v>0.2</v>
      </c>
      <c r="L7" s="551">
        <v>6000</v>
      </c>
      <c r="M7" s="575">
        <f aca="true" t="shared" si="0" ref="M7:O8">I7+1%</f>
        <v>0.2</v>
      </c>
      <c r="N7" s="576">
        <f t="shared" si="0"/>
        <v>0.20500000000000002</v>
      </c>
      <c r="O7" s="581">
        <f t="shared" si="0"/>
        <v>0.21000000000000002</v>
      </c>
      <c r="P7" s="260"/>
      <c r="Q7" s="82" t="s">
        <v>145</v>
      </c>
      <c r="R7" s="283">
        <f>IF($R$1&lt;=12,I7,IF(AND($R$1&gt;12,$R$1&lt;=36),J7,K7))</f>
        <v>0.195</v>
      </c>
      <c r="S7" s="283"/>
      <c r="T7" s="283"/>
      <c r="U7" s="283"/>
      <c r="V7" s="284"/>
      <c r="Y7" s="82" t="s">
        <v>145</v>
      </c>
      <c r="Z7" s="283">
        <f>IF($R$1&lt;=12,M7,IF(AND($R$1&gt;12,$R$1&lt;=36),N7,O7))</f>
        <v>0.20500000000000002</v>
      </c>
      <c r="AA7" s="283"/>
      <c r="AB7" s="283"/>
      <c r="AC7" s="283"/>
      <c r="AD7" s="284"/>
    </row>
    <row r="8" spans="1:30" s="83" customFormat="1" ht="13.5" customHeight="1">
      <c r="A8" s="553"/>
      <c r="B8" s="556"/>
      <c r="C8" s="546"/>
      <c r="D8" s="84" t="s">
        <v>39</v>
      </c>
      <c r="E8" s="546"/>
      <c r="F8" s="546"/>
      <c r="G8" s="535"/>
      <c r="H8" s="538"/>
      <c r="I8" s="138">
        <v>0.18</v>
      </c>
      <c r="J8" s="139">
        <v>0.185</v>
      </c>
      <c r="K8" s="139">
        <v>0.19</v>
      </c>
      <c r="L8" s="561"/>
      <c r="M8" s="582">
        <f t="shared" si="0"/>
        <v>0.19</v>
      </c>
      <c r="N8" s="583">
        <f t="shared" si="0"/>
        <v>0.195</v>
      </c>
      <c r="O8" s="584">
        <f t="shared" si="0"/>
        <v>0.2</v>
      </c>
      <c r="P8" s="260"/>
      <c r="Q8" s="82"/>
      <c r="R8" s="283">
        <f aca="true" t="shared" si="1" ref="R8:R38">IF($R$1&lt;=12,I8,IF(AND($R$1&gt;12,$R$1&lt;=36),J8,K8))</f>
        <v>0.185</v>
      </c>
      <c r="S8" s="283"/>
      <c r="T8" s="283"/>
      <c r="U8" s="283"/>
      <c r="V8" s="284"/>
      <c r="Y8" s="82"/>
      <c r="Z8" s="283">
        <f aca="true" t="shared" si="2" ref="Z8:Z38">IF($R$1&lt;=12,M8,IF(AND($R$1&gt;12,$R$1&lt;=36),N8,O8))</f>
        <v>0.195</v>
      </c>
      <c r="AA8" s="283"/>
      <c r="AB8" s="283"/>
      <c r="AC8" s="283"/>
      <c r="AD8" s="284"/>
    </row>
    <row r="9" spans="1:30" s="83" customFormat="1" ht="13.5" customHeight="1">
      <c r="A9" s="553"/>
      <c r="B9" s="556"/>
      <c r="C9" s="546"/>
      <c r="D9" s="84" t="s">
        <v>40</v>
      </c>
      <c r="E9" s="546"/>
      <c r="F9" s="546"/>
      <c r="G9" s="535"/>
      <c r="H9" s="538"/>
      <c r="I9" s="140">
        <v>0.17</v>
      </c>
      <c r="J9" s="141">
        <v>0.17</v>
      </c>
      <c r="K9" s="141">
        <v>0.18</v>
      </c>
      <c r="L9" s="561"/>
      <c r="M9" s="582">
        <f aca="true" t="shared" si="3" ref="M9:M38">I9+1%</f>
        <v>0.18000000000000002</v>
      </c>
      <c r="N9" s="583">
        <f aca="true" t="shared" si="4" ref="N9:N38">J9+1%</f>
        <v>0.18000000000000002</v>
      </c>
      <c r="O9" s="584">
        <f aca="true" t="shared" si="5" ref="O9:O38">K9+1%</f>
        <v>0.19</v>
      </c>
      <c r="P9" s="260"/>
      <c r="Q9" s="82"/>
      <c r="R9" s="283">
        <f t="shared" si="1"/>
        <v>0.17</v>
      </c>
      <c r="S9" s="283"/>
      <c r="T9" s="283"/>
      <c r="U9" s="283"/>
      <c r="V9" s="284"/>
      <c r="Y9" s="82"/>
      <c r="Z9" s="283">
        <f t="shared" si="2"/>
        <v>0.18000000000000002</v>
      </c>
      <c r="AA9" s="283"/>
      <c r="AB9" s="283"/>
      <c r="AC9" s="283"/>
      <c r="AD9" s="284"/>
    </row>
    <row r="10" spans="1:31" s="83" customFormat="1" ht="13.5" customHeight="1">
      <c r="A10" s="553"/>
      <c r="B10" s="557"/>
      <c r="C10" s="546"/>
      <c r="D10" s="88" t="s">
        <v>41</v>
      </c>
      <c r="E10" s="546"/>
      <c r="F10" s="550"/>
      <c r="G10" s="535"/>
      <c r="H10" s="538"/>
      <c r="I10" s="142">
        <v>0.16</v>
      </c>
      <c r="J10" s="143">
        <v>0.16</v>
      </c>
      <c r="K10" s="143">
        <v>0.17</v>
      </c>
      <c r="L10" s="562"/>
      <c r="M10" s="582">
        <f t="shared" si="3"/>
        <v>0.17</v>
      </c>
      <c r="N10" s="583">
        <f t="shared" si="4"/>
        <v>0.17</v>
      </c>
      <c r="O10" s="584">
        <f t="shared" si="5"/>
        <v>0.18000000000000002</v>
      </c>
      <c r="P10" s="260"/>
      <c r="Q10" s="257"/>
      <c r="R10" s="285">
        <f t="shared" si="1"/>
        <v>0.16</v>
      </c>
      <c r="S10" s="285">
        <f>IF($S$1=0,R7,IF(OR($S$1=10,$S$1=20),R8,IF($S$1=30,R9,R10)))</f>
        <v>0.185</v>
      </c>
      <c r="T10" s="285">
        <f>S10</f>
        <v>0.185</v>
      </c>
      <c r="U10" s="285">
        <f>T10</f>
        <v>0.185</v>
      </c>
      <c r="V10" s="286"/>
      <c r="W10" s="278"/>
      <c r="Y10" s="257"/>
      <c r="Z10" s="285">
        <f t="shared" si="2"/>
        <v>0.17</v>
      </c>
      <c r="AA10" s="285">
        <f>IF($S$1=0,Z7,IF(OR($S$1=10,$S$1=20),Z8,IF($S$1=30,Z9,Z10)))</f>
        <v>0.195</v>
      </c>
      <c r="AB10" s="285">
        <f>AA10</f>
        <v>0.195</v>
      </c>
      <c r="AC10" s="285">
        <f>AB10</f>
        <v>0.195</v>
      </c>
      <c r="AD10" s="286"/>
      <c r="AE10" s="278"/>
    </row>
    <row r="11" spans="1:31" s="83" customFormat="1" ht="13.5" customHeight="1">
      <c r="A11" s="553"/>
      <c r="B11" s="548" t="s">
        <v>42</v>
      </c>
      <c r="C11" s="546"/>
      <c r="D11" s="84" t="s">
        <v>33</v>
      </c>
      <c r="E11" s="546"/>
      <c r="F11" s="541" t="s">
        <v>35</v>
      </c>
      <c r="G11" s="535"/>
      <c r="H11" s="538"/>
      <c r="I11" s="140">
        <v>0.17</v>
      </c>
      <c r="J11" s="141">
        <v>0.175</v>
      </c>
      <c r="K11" s="141">
        <v>0.18</v>
      </c>
      <c r="L11" s="542">
        <v>6000</v>
      </c>
      <c r="M11" s="582">
        <f t="shared" si="3"/>
        <v>0.18000000000000002</v>
      </c>
      <c r="N11" s="583">
        <f t="shared" si="4"/>
        <v>0.185</v>
      </c>
      <c r="O11" s="584">
        <f t="shared" si="5"/>
        <v>0.19</v>
      </c>
      <c r="P11" s="260"/>
      <c r="Q11" s="82" t="s">
        <v>146</v>
      </c>
      <c r="R11" s="283">
        <f t="shared" si="1"/>
        <v>0.175</v>
      </c>
      <c r="S11" s="283"/>
      <c r="T11" s="283"/>
      <c r="U11" s="283"/>
      <c r="V11" s="284"/>
      <c r="W11" s="278"/>
      <c r="Y11" s="82" t="s">
        <v>146</v>
      </c>
      <c r="Z11" s="283">
        <f t="shared" si="2"/>
        <v>0.185</v>
      </c>
      <c r="AA11" s="283"/>
      <c r="AB11" s="283"/>
      <c r="AC11" s="283"/>
      <c r="AD11" s="284"/>
      <c r="AE11" s="278"/>
    </row>
    <row r="12" spans="1:31" s="83" customFormat="1" ht="13.5" customHeight="1">
      <c r="A12" s="553"/>
      <c r="B12" s="556"/>
      <c r="C12" s="546"/>
      <c r="D12" s="84" t="s">
        <v>39</v>
      </c>
      <c r="E12" s="546"/>
      <c r="F12" s="546"/>
      <c r="G12" s="535"/>
      <c r="H12" s="538"/>
      <c r="I12" s="140">
        <v>0.16</v>
      </c>
      <c r="J12" s="141">
        <v>0.165</v>
      </c>
      <c r="K12" s="141">
        <v>0.17</v>
      </c>
      <c r="L12" s="561"/>
      <c r="M12" s="582">
        <f t="shared" si="3"/>
        <v>0.17</v>
      </c>
      <c r="N12" s="583">
        <f t="shared" si="4"/>
        <v>0.17500000000000002</v>
      </c>
      <c r="O12" s="584">
        <f t="shared" si="5"/>
        <v>0.18000000000000002</v>
      </c>
      <c r="P12" s="260"/>
      <c r="Q12" s="82"/>
      <c r="R12" s="283">
        <f t="shared" si="1"/>
        <v>0.165</v>
      </c>
      <c r="S12" s="283"/>
      <c r="T12" s="283"/>
      <c r="U12" s="283"/>
      <c r="V12" s="284"/>
      <c r="W12" s="278"/>
      <c r="Y12" s="82"/>
      <c r="Z12" s="283">
        <f t="shared" si="2"/>
        <v>0.17500000000000002</v>
      </c>
      <c r="AA12" s="283"/>
      <c r="AB12" s="283"/>
      <c r="AC12" s="283"/>
      <c r="AD12" s="284"/>
      <c r="AE12" s="278"/>
    </row>
    <row r="13" spans="1:31" s="83" customFormat="1" ht="13.5" customHeight="1">
      <c r="A13" s="553"/>
      <c r="B13" s="556"/>
      <c r="C13" s="546"/>
      <c r="D13" s="84" t="s">
        <v>40</v>
      </c>
      <c r="E13" s="546"/>
      <c r="F13" s="546"/>
      <c r="G13" s="535"/>
      <c r="H13" s="538"/>
      <c r="I13" s="144">
        <v>0.15</v>
      </c>
      <c r="J13" s="145">
        <v>0.15</v>
      </c>
      <c r="K13" s="145">
        <v>0.16</v>
      </c>
      <c r="L13" s="561"/>
      <c r="M13" s="582">
        <f t="shared" si="3"/>
        <v>0.16</v>
      </c>
      <c r="N13" s="583">
        <f t="shared" si="4"/>
        <v>0.16</v>
      </c>
      <c r="O13" s="584">
        <f t="shared" si="5"/>
        <v>0.17</v>
      </c>
      <c r="P13" s="260"/>
      <c r="Q13" s="82"/>
      <c r="R13" s="283">
        <f t="shared" si="1"/>
        <v>0.15</v>
      </c>
      <c r="S13" s="283"/>
      <c r="T13" s="283"/>
      <c r="U13" s="283"/>
      <c r="V13" s="284"/>
      <c r="W13" s="278"/>
      <c r="Y13" s="82"/>
      <c r="Z13" s="283">
        <f t="shared" si="2"/>
        <v>0.16</v>
      </c>
      <c r="AA13" s="283"/>
      <c r="AB13" s="283"/>
      <c r="AC13" s="283"/>
      <c r="AD13" s="284"/>
      <c r="AE13" s="278"/>
    </row>
    <row r="14" spans="1:31" s="83" customFormat="1" ht="13.5" customHeight="1" thickBot="1">
      <c r="A14" s="554"/>
      <c r="B14" s="549"/>
      <c r="C14" s="547"/>
      <c r="D14" s="91" t="s">
        <v>41</v>
      </c>
      <c r="E14" s="547"/>
      <c r="F14" s="547"/>
      <c r="G14" s="536"/>
      <c r="H14" s="539"/>
      <c r="I14" s="146">
        <v>0.14</v>
      </c>
      <c r="J14" s="147">
        <v>0.14</v>
      </c>
      <c r="K14" s="147">
        <v>0.15</v>
      </c>
      <c r="L14" s="543"/>
      <c r="M14" s="585">
        <f t="shared" si="3"/>
        <v>0.15000000000000002</v>
      </c>
      <c r="N14" s="586">
        <f t="shared" si="4"/>
        <v>0.15000000000000002</v>
      </c>
      <c r="O14" s="587">
        <f t="shared" si="5"/>
        <v>0.16</v>
      </c>
      <c r="P14" s="260"/>
      <c r="Q14" s="263"/>
      <c r="R14" s="287">
        <f t="shared" si="1"/>
        <v>0.14</v>
      </c>
      <c r="S14" s="287">
        <f>IF($S$1=0,R11,IF(OR($S$1=10,$S$1=20),R12,IF($S$1=30,R13,R14)))</f>
        <v>0.165</v>
      </c>
      <c r="T14" s="287">
        <f>S14</f>
        <v>0.165</v>
      </c>
      <c r="U14" s="287">
        <f>T14</f>
        <v>0.165</v>
      </c>
      <c r="V14" s="287">
        <f>IF($V$1=2,U14,U10)</f>
        <v>0.185</v>
      </c>
      <c r="W14" s="278"/>
      <c r="Y14" s="263"/>
      <c r="Z14" s="287">
        <f t="shared" si="2"/>
        <v>0.15000000000000002</v>
      </c>
      <c r="AA14" s="287">
        <f>IF($S$1=0,Z11,IF(OR($S$1=10,$S$1=20),Z12,IF($S$1=30,Z13,Z14)))</f>
        <v>0.17500000000000002</v>
      </c>
      <c r="AB14" s="287">
        <f>AA14</f>
        <v>0.17500000000000002</v>
      </c>
      <c r="AC14" s="287">
        <f>AB14</f>
        <v>0.17500000000000002</v>
      </c>
      <c r="AD14" s="287">
        <f>IF($V$1=2,AC14,AC10)</f>
        <v>0.195</v>
      </c>
      <c r="AE14" s="278"/>
    </row>
    <row r="15" spans="1:31" s="83" customFormat="1" ht="13.5" customHeight="1">
      <c r="A15" s="553" t="s">
        <v>43</v>
      </c>
      <c r="B15" s="556" t="s">
        <v>31</v>
      </c>
      <c r="C15" s="546" t="s">
        <v>32</v>
      </c>
      <c r="D15" s="89" t="s">
        <v>257</v>
      </c>
      <c r="E15" s="556" t="s">
        <v>44</v>
      </c>
      <c r="F15" s="556" t="s">
        <v>35</v>
      </c>
      <c r="G15" s="540" t="s">
        <v>36</v>
      </c>
      <c r="H15" s="534" t="s">
        <v>45</v>
      </c>
      <c r="I15" s="148">
        <v>0.165</v>
      </c>
      <c r="J15" s="511">
        <v>0.165</v>
      </c>
      <c r="K15" s="149">
        <v>0.175</v>
      </c>
      <c r="L15" s="561">
        <v>6000</v>
      </c>
      <c r="M15" s="588">
        <f t="shared" si="3"/>
        <v>0.17500000000000002</v>
      </c>
      <c r="N15" s="589">
        <f t="shared" si="4"/>
        <v>0.17500000000000002</v>
      </c>
      <c r="O15" s="590">
        <f t="shared" si="5"/>
        <v>0.185</v>
      </c>
      <c r="P15" s="260"/>
      <c r="Q15" s="83" t="s">
        <v>147</v>
      </c>
      <c r="R15" s="283">
        <f t="shared" si="1"/>
        <v>0.165</v>
      </c>
      <c r="S15" s="284"/>
      <c r="T15" s="284"/>
      <c r="U15" s="284"/>
      <c r="V15" s="284"/>
      <c r="W15" s="278"/>
      <c r="Y15" s="83" t="s">
        <v>147</v>
      </c>
      <c r="Z15" s="283">
        <f t="shared" si="2"/>
        <v>0.17500000000000002</v>
      </c>
      <c r="AA15" s="284"/>
      <c r="AB15" s="284"/>
      <c r="AC15" s="284"/>
      <c r="AD15" s="284"/>
      <c r="AE15" s="278"/>
    </row>
    <row r="16" spans="1:31" s="83" customFormat="1" ht="13.5" customHeight="1">
      <c r="A16" s="553"/>
      <c r="B16" s="556"/>
      <c r="C16" s="546"/>
      <c r="D16" s="89" t="s">
        <v>258</v>
      </c>
      <c r="E16" s="556"/>
      <c r="F16" s="556"/>
      <c r="G16" s="540"/>
      <c r="H16" s="534"/>
      <c r="I16" s="148">
        <v>0.16</v>
      </c>
      <c r="J16" s="511">
        <v>0.16</v>
      </c>
      <c r="K16" s="149">
        <v>0.17</v>
      </c>
      <c r="L16" s="561"/>
      <c r="M16" s="582">
        <f t="shared" si="3"/>
        <v>0.17</v>
      </c>
      <c r="N16" s="583">
        <f t="shared" si="4"/>
        <v>0.17</v>
      </c>
      <c r="O16" s="584">
        <f t="shared" si="5"/>
        <v>0.18000000000000002</v>
      </c>
      <c r="P16" s="260"/>
      <c r="R16" s="283">
        <f t="shared" si="1"/>
        <v>0.16</v>
      </c>
      <c r="S16" s="284"/>
      <c r="T16" s="284"/>
      <c r="U16" s="284"/>
      <c r="V16" s="284"/>
      <c r="W16" s="278"/>
      <c r="Z16" s="283">
        <f t="shared" si="2"/>
        <v>0.17</v>
      </c>
      <c r="AA16" s="284"/>
      <c r="AB16" s="284"/>
      <c r="AC16" s="284"/>
      <c r="AD16" s="284"/>
      <c r="AE16" s="278"/>
    </row>
    <row r="17" spans="1:31" s="83" customFormat="1" ht="13.5" customHeight="1">
      <c r="A17" s="553"/>
      <c r="B17" s="556"/>
      <c r="C17" s="546"/>
      <c r="D17" s="84" t="s">
        <v>40</v>
      </c>
      <c r="E17" s="556"/>
      <c r="F17" s="556"/>
      <c r="G17" s="540"/>
      <c r="H17" s="534"/>
      <c r="I17" s="150">
        <v>0.15</v>
      </c>
      <c r="J17" s="509">
        <v>0.15</v>
      </c>
      <c r="K17" s="151">
        <v>0.16</v>
      </c>
      <c r="L17" s="561"/>
      <c r="M17" s="582">
        <f t="shared" si="3"/>
        <v>0.16</v>
      </c>
      <c r="N17" s="583">
        <f t="shared" si="4"/>
        <v>0.16</v>
      </c>
      <c r="O17" s="584">
        <f t="shared" si="5"/>
        <v>0.17</v>
      </c>
      <c r="P17" s="260"/>
      <c r="Q17" s="83" t="s">
        <v>151</v>
      </c>
      <c r="R17" s="283">
        <f t="shared" si="1"/>
        <v>0.15</v>
      </c>
      <c r="S17" s="284"/>
      <c r="T17" s="284"/>
      <c r="U17" s="284"/>
      <c r="V17" s="284"/>
      <c r="W17" s="278"/>
      <c r="Y17" s="83" t="s">
        <v>151</v>
      </c>
      <c r="Z17" s="283">
        <f t="shared" si="2"/>
        <v>0.16</v>
      </c>
      <c r="AA17" s="284"/>
      <c r="AB17" s="284"/>
      <c r="AC17" s="284"/>
      <c r="AD17" s="284"/>
      <c r="AE17" s="278"/>
    </row>
    <row r="18" spans="1:31" s="83" customFormat="1" ht="13.5" customHeight="1">
      <c r="A18" s="553"/>
      <c r="B18" s="556"/>
      <c r="C18" s="550"/>
      <c r="D18" s="84" t="s">
        <v>41</v>
      </c>
      <c r="E18" s="556"/>
      <c r="F18" s="556"/>
      <c r="G18" s="540"/>
      <c r="H18" s="531"/>
      <c r="I18" s="150">
        <v>0.14</v>
      </c>
      <c r="J18" s="509">
        <v>0.145</v>
      </c>
      <c r="K18" s="151">
        <v>0.15</v>
      </c>
      <c r="L18" s="562"/>
      <c r="M18" s="582">
        <f t="shared" si="3"/>
        <v>0.15000000000000002</v>
      </c>
      <c r="N18" s="583">
        <f t="shared" si="4"/>
        <v>0.155</v>
      </c>
      <c r="O18" s="584">
        <f t="shared" si="5"/>
        <v>0.16</v>
      </c>
      <c r="P18" s="260"/>
      <c r="Q18" s="258"/>
      <c r="R18" s="285">
        <f t="shared" si="1"/>
        <v>0.145</v>
      </c>
      <c r="S18" s="285">
        <f>IF($S$1=0,R23,IF($S$1=10,R15,IF($S$1=20,R16,IF($S$1=30,R17,R18))))</f>
        <v>0.165</v>
      </c>
      <c r="T18" s="288"/>
      <c r="U18" s="286"/>
      <c r="V18" s="286"/>
      <c r="W18" s="278"/>
      <c r="Y18" s="258"/>
      <c r="Z18" s="285">
        <f t="shared" si="2"/>
        <v>0.155</v>
      </c>
      <c r="AA18" s="285">
        <f>IF($S$1=0,Z23,IF($S$1=10,Z15,IF($S$1=20,Z16,IF($S$1=30,Z17,Z18))))</f>
        <v>0.17500000000000002</v>
      </c>
      <c r="AB18" s="288"/>
      <c r="AC18" s="286"/>
      <c r="AD18" s="286"/>
      <c r="AE18" s="278"/>
    </row>
    <row r="19" spans="1:31" s="83" customFormat="1" ht="13.5" customHeight="1">
      <c r="A19" s="553"/>
      <c r="B19" s="556"/>
      <c r="C19" s="541" t="s">
        <v>46</v>
      </c>
      <c r="D19" s="84" t="s">
        <v>257</v>
      </c>
      <c r="E19" s="556"/>
      <c r="F19" s="556"/>
      <c r="G19" s="540"/>
      <c r="H19" s="563" t="s">
        <v>47</v>
      </c>
      <c r="I19" s="150">
        <v>0.135</v>
      </c>
      <c r="J19" s="509">
        <v>0.135</v>
      </c>
      <c r="K19" s="151">
        <v>0.145</v>
      </c>
      <c r="L19" s="542">
        <v>200</v>
      </c>
      <c r="M19" s="582">
        <f t="shared" si="3"/>
        <v>0.14500000000000002</v>
      </c>
      <c r="N19" s="583">
        <f t="shared" si="4"/>
        <v>0.14500000000000002</v>
      </c>
      <c r="O19" s="584">
        <f t="shared" si="5"/>
        <v>0.155</v>
      </c>
      <c r="P19" s="260"/>
      <c r="Q19" s="83" t="s">
        <v>148</v>
      </c>
      <c r="R19" s="283">
        <f t="shared" si="1"/>
        <v>0.135</v>
      </c>
      <c r="S19" s="284"/>
      <c r="T19" s="284"/>
      <c r="U19" s="286"/>
      <c r="V19" s="286"/>
      <c r="W19" s="278"/>
      <c r="Y19" s="83" t="s">
        <v>148</v>
      </c>
      <c r="Z19" s="283">
        <f t="shared" si="2"/>
        <v>0.14500000000000002</v>
      </c>
      <c r="AA19" s="284"/>
      <c r="AB19" s="284"/>
      <c r="AC19" s="286"/>
      <c r="AD19" s="286"/>
      <c r="AE19" s="278"/>
    </row>
    <row r="20" spans="1:31" s="83" customFormat="1" ht="13.5" customHeight="1">
      <c r="A20" s="553"/>
      <c r="B20" s="556"/>
      <c r="C20" s="546"/>
      <c r="D20" s="84" t="s">
        <v>258</v>
      </c>
      <c r="E20" s="556"/>
      <c r="F20" s="556"/>
      <c r="G20" s="540"/>
      <c r="H20" s="558"/>
      <c r="I20" s="150">
        <v>0.13</v>
      </c>
      <c r="J20" s="509">
        <v>0.13</v>
      </c>
      <c r="K20" s="151">
        <v>0.14</v>
      </c>
      <c r="L20" s="561"/>
      <c r="M20" s="582">
        <f t="shared" si="3"/>
        <v>0.14</v>
      </c>
      <c r="N20" s="583">
        <f t="shared" si="4"/>
        <v>0.14</v>
      </c>
      <c r="O20" s="584">
        <f t="shared" si="5"/>
        <v>0.15000000000000002</v>
      </c>
      <c r="P20" s="260"/>
      <c r="R20" s="283">
        <f t="shared" si="1"/>
        <v>0.13</v>
      </c>
      <c r="S20" s="284"/>
      <c r="T20" s="284"/>
      <c r="U20" s="286"/>
      <c r="V20" s="286"/>
      <c r="W20" s="278"/>
      <c r="Z20" s="283">
        <f t="shared" si="2"/>
        <v>0.14</v>
      </c>
      <c r="AA20" s="284"/>
      <c r="AB20" s="284"/>
      <c r="AC20" s="286"/>
      <c r="AD20" s="286"/>
      <c r="AE20" s="278"/>
    </row>
    <row r="21" spans="1:31" s="83" customFormat="1" ht="13.5" customHeight="1">
      <c r="A21" s="553"/>
      <c r="B21" s="556"/>
      <c r="C21" s="546"/>
      <c r="D21" s="84" t="s">
        <v>40</v>
      </c>
      <c r="E21" s="556"/>
      <c r="F21" s="556"/>
      <c r="G21" s="540"/>
      <c r="H21" s="558"/>
      <c r="I21" s="150">
        <v>0.12</v>
      </c>
      <c r="J21" s="509">
        <v>0.12</v>
      </c>
      <c r="K21" s="151">
        <v>0.13</v>
      </c>
      <c r="L21" s="561"/>
      <c r="M21" s="582">
        <f t="shared" si="3"/>
        <v>0.13</v>
      </c>
      <c r="N21" s="583">
        <f t="shared" si="4"/>
        <v>0.13</v>
      </c>
      <c r="O21" s="584">
        <f t="shared" si="5"/>
        <v>0.14</v>
      </c>
      <c r="P21" s="260"/>
      <c r="Q21" s="83" t="s">
        <v>151</v>
      </c>
      <c r="R21" s="283">
        <f t="shared" si="1"/>
        <v>0.12</v>
      </c>
      <c r="S21" s="284"/>
      <c r="T21" s="284"/>
      <c r="U21" s="286"/>
      <c r="V21" s="286"/>
      <c r="W21" s="278"/>
      <c r="Y21" s="83" t="s">
        <v>151</v>
      </c>
      <c r="Z21" s="283">
        <f t="shared" si="2"/>
        <v>0.13</v>
      </c>
      <c r="AA21" s="284"/>
      <c r="AB21" s="284"/>
      <c r="AC21" s="286"/>
      <c r="AD21" s="286"/>
      <c r="AE21" s="278"/>
    </row>
    <row r="22" spans="1:31" s="83" customFormat="1" ht="13.5" customHeight="1">
      <c r="A22" s="553"/>
      <c r="B22" s="556"/>
      <c r="C22" s="550"/>
      <c r="D22" s="88" t="s">
        <v>41</v>
      </c>
      <c r="E22" s="557"/>
      <c r="F22" s="557"/>
      <c r="G22" s="540"/>
      <c r="H22" s="559"/>
      <c r="I22" s="150">
        <v>0.11</v>
      </c>
      <c r="J22" s="509">
        <v>0.115</v>
      </c>
      <c r="K22" s="151">
        <v>0.12</v>
      </c>
      <c r="L22" s="562"/>
      <c r="M22" s="582">
        <f t="shared" si="3"/>
        <v>0.12</v>
      </c>
      <c r="N22" s="583">
        <f t="shared" si="4"/>
        <v>0.125</v>
      </c>
      <c r="O22" s="584">
        <f t="shared" si="5"/>
        <v>0.13</v>
      </c>
      <c r="P22" s="260"/>
      <c r="Q22" s="258"/>
      <c r="R22" s="285">
        <f t="shared" si="1"/>
        <v>0.115</v>
      </c>
      <c r="S22" s="285">
        <f>IF($S$1=0,R27,IF($S$1=10,R19,IF($S$1=20,R20,IF($S$1=30,R21,R22))))</f>
        <v>0.135</v>
      </c>
      <c r="T22" s="285">
        <f>IF($T$1&lt;&gt;1,S22,S18)</f>
        <v>0.165</v>
      </c>
      <c r="U22" s="286"/>
      <c r="V22" s="286"/>
      <c r="W22" s="278"/>
      <c r="Y22" s="258"/>
      <c r="Z22" s="285">
        <f t="shared" si="2"/>
        <v>0.125</v>
      </c>
      <c r="AA22" s="285">
        <f>IF($S$1=0,Z27,IF($S$1=10,Z19,IF($S$1=20,Z20,IF($S$1=30,Z21,Z22))))</f>
        <v>0.14500000000000002</v>
      </c>
      <c r="AB22" s="285">
        <f>IF($T$1&lt;&gt;1,AA22,AA18)</f>
        <v>0.17500000000000002</v>
      </c>
      <c r="AC22" s="286"/>
      <c r="AD22" s="286"/>
      <c r="AE22" s="278"/>
    </row>
    <row r="23" spans="1:31" s="97" customFormat="1" ht="13.5" customHeight="1">
      <c r="A23" s="553"/>
      <c r="B23" s="556"/>
      <c r="C23" s="541" t="s">
        <v>32</v>
      </c>
      <c r="D23" s="84" t="s">
        <v>33</v>
      </c>
      <c r="E23" s="548" t="s">
        <v>34</v>
      </c>
      <c r="F23" s="541" t="s">
        <v>49</v>
      </c>
      <c r="G23" s="540"/>
      <c r="H23" s="532" t="s">
        <v>50</v>
      </c>
      <c r="I23" s="150">
        <v>0.165</v>
      </c>
      <c r="J23" s="509">
        <v>0.165</v>
      </c>
      <c r="K23" s="151">
        <v>0.175</v>
      </c>
      <c r="L23" s="542">
        <v>6000</v>
      </c>
      <c r="M23" s="582">
        <f t="shared" si="3"/>
        <v>0.17500000000000002</v>
      </c>
      <c r="N23" s="583">
        <f t="shared" si="4"/>
        <v>0.17500000000000002</v>
      </c>
      <c r="O23" s="584">
        <f t="shared" si="5"/>
        <v>0.185</v>
      </c>
      <c r="P23" s="260"/>
      <c r="Q23" s="83" t="s">
        <v>147</v>
      </c>
      <c r="R23" s="283">
        <f t="shared" si="1"/>
        <v>0.165</v>
      </c>
      <c r="S23" s="289"/>
      <c r="T23" s="289"/>
      <c r="U23" s="290"/>
      <c r="V23" s="290"/>
      <c r="W23" s="279"/>
      <c r="Y23" s="83" t="s">
        <v>147</v>
      </c>
      <c r="Z23" s="283">
        <f t="shared" si="2"/>
        <v>0.17500000000000002</v>
      </c>
      <c r="AA23" s="289"/>
      <c r="AB23" s="289"/>
      <c r="AC23" s="290"/>
      <c r="AD23" s="290"/>
      <c r="AE23" s="279"/>
    </row>
    <row r="24" spans="1:31" s="97" customFormat="1" ht="13.5" customHeight="1">
      <c r="A24" s="553"/>
      <c r="B24" s="556"/>
      <c r="C24" s="546"/>
      <c r="D24" s="84" t="s">
        <v>39</v>
      </c>
      <c r="E24" s="556"/>
      <c r="F24" s="546"/>
      <c r="G24" s="540"/>
      <c r="H24" s="538"/>
      <c r="I24" s="150">
        <v>0.145</v>
      </c>
      <c r="J24" s="509">
        <v>0.15</v>
      </c>
      <c r="K24" s="151">
        <v>0.16</v>
      </c>
      <c r="L24" s="561"/>
      <c r="M24" s="582">
        <f t="shared" si="3"/>
        <v>0.155</v>
      </c>
      <c r="N24" s="583">
        <f t="shared" si="4"/>
        <v>0.16</v>
      </c>
      <c r="O24" s="584">
        <f t="shared" si="5"/>
        <v>0.17</v>
      </c>
      <c r="P24" s="260"/>
      <c r="Q24" s="83" t="s">
        <v>152</v>
      </c>
      <c r="R24" s="283">
        <f t="shared" si="1"/>
        <v>0.15</v>
      </c>
      <c r="S24" s="289"/>
      <c r="T24" s="289"/>
      <c r="U24" s="290"/>
      <c r="V24" s="290"/>
      <c r="W24" s="279"/>
      <c r="Y24" s="83" t="s">
        <v>152</v>
      </c>
      <c r="Z24" s="283">
        <f t="shared" si="2"/>
        <v>0.16</v>
      </c>
      <c r="AA24" s="289"/>
      <c r="AB24" s="289"/>
      <c r="AC24" s="290"/>
      <c r="AD24" s="290"/>
      <c r="AE24" s="279"/>
    </row>
    <row r="25" spans="1:31" s="97" customFormat="1" ht="13.5" customHeight="1">
      <c r="A25" s="553"/>
      <c r="B25" s="556"/>
      <c r="C25" s="546"/>
      <c r="D25" s="84" t="s">
        <v>40</v>
      </c>
      <c r="E25" s="556"/>
      <c r="F25" s="546"/>
      <c r="G25" s="540"/>
      <c r="H25" s="538"/>
      <c r="I25" s="150">
        <v>0.14</v>
      </c>
      <c r="J25" s="509">
        <v>0.145</v>
      </c>
      <c r="K25" s="151">
        <v>0.15</v>
      </c>
      <c r="L25" s="561"/>
      <c r="M25" s="582">
        <f t="shared" si="3"/>
        <v>0.15000000000000002</v>
      </c>
      <c r="N25" s="583">
        <f t="shared" si="4"/>
        <v>0.155</v>
      </c>
      <c r="O25" s="584">
        <f t="shared" si="5"/>
        <v>0.16</v>
      </c>
      <c r="P25" s="260"/>
      <c r="Q25" s="83"/>
      <c r="R25" s="283">
        <f t="shared" si="1"/>
        <v>0.145</v>
      </c>
      <c r="S25" s="289"/>
      <c r="T25" s="289"/>
      <c r="U25" s="290"/>
      <c r="V25" s="290"/>
      <c r="W25" s="279"/>
      <c r="Y25" s="83"/>
      <c r="Z25" s="283">
        <f t="shared" si="2"/>
        <v>0.155</v>
      </c>
      <c r="AA25" s="289"/>
      <c r="AB25" s="289"/>
      <c r="AC25" s="290"/>
      <c r="AD25" s="290"/>
      <c r="AE25" s="279"/>
    </row>
    <row r="26" spans="1:31" s="97" customFormat="1" ht="13.5" customHeight="1">
      <c r="A26" s="553"/>
      <c r="B26" s="556"/>
      <c r="C26" s="550"/>
      <c r="D26" s="84" t="s">
        <v>41</v>
      </c>
      <c r="E26" s="556"/>
      <c r="F26" s="546"/>
      <c r="G26" s="540"/>
      <c r="H26" s="530"/>
      <c r="I26" s="150">
        <v>0.135</v>
      </c>
      <c r="J26" s="509">
        <v>0.14</v>
      </c>
      <c r="K26" s="151">
        <v>0.145</v>
      </c>
      <c r="L26" s="562"/>
      <c r="M26" s="582">
        <f t="shared" si="3"/>
        <v>0.14500000000000002</v>
      </c>
      <c r="N26" s="583">
        <f t="shared" si="4"/>
        <v>0.15000000000000002</v>
      </c>
      <c r="O26" s="584">
        <f t="shared" si="5"/>
        <v>0.155</v>
      </c>
      <c r="P26" s="260"/>
      <c r="Q26" s="258"/>
      <c r="R26" s="285">
        <f t="shared" si="1"/>
        <v>0.14</v>
      </c>
      <c r="S26" s="285">
        <f>IF($S$1=0,R23,IF(OR($S$1=10,$S$1=20),R24,IF($S$1=30,R25,R26)))</f>
        <v>0.15</v>
      </c>
      <c r="T26" s="290"/>
      <c r="U26" s="290"/>
      <c r="V26" s="290"/>
      <c r="W26" s="279"/>
      <c r="Y26" s="258"/>
      <c r="Z26" s="285">
        <f t="shared" si="2"/>
        <v>0.15000000000000002</v>
      </c>
      <c r="AA26" s="285">
        <f>IF($S$1=0,Z23,IF(OR($S$1=10,$S$1=20),Z24,IF($S$1=30,Z25,Z26)))</f>
        <v>0.16</v>
      </c>
      <c r="AB26" s="290"/>
      <c r="AC26" s="290"/>
      <c r="AD26" s="290"/>
      <c r="AE26" s="279"/>
    </row>
    <row r="27" spans="1:31" s="97" customFormat="1" ht="13.5" customHeight="1">
      <c r="A27" s="553"/>
      <c r="B27" s="556"/>
      <c r="C27" s="541" t="s">
        <v>46</v>
      </c>
      <c r="D27" s="84" t="s">
        <v>33</v>
      </c>
      <c r="E27" s="556"/>
      <c r="F27" s="546"/>
      <c r="G27" s="540"/>
      <c r="H27" s="526" t="s">
        <v>51</v>
      </c>
      <c r="I27" s="150">
        <v>0.135</v>
      </c>
      <c r="J27" s="509">
        <v>0.135</v>
      </c>
      <c r="K27" s="151">
        <v>0.145</v>
      </c>
      <c r="L27" s="542">
        <v>200</v>
      </c>
      <c r="M27" s="582">
        <f t="shared" si="3"/>
        <v>0.14500000000000002</v>
      </c>
      <c r="N27" s="583">
        <f t="shared" si="4"/>
        <v>0.14500000000000002</v>
      </c>
      <c r="O27" s="584">
        <f t="shared" si="5"/>
        <v>0.155</v>
      </c>
      <c r="P27" s="260"/>
      <c r="Q27" s="83" t="s">
        <v>153</v>
      </c>
      <c r="R27" s="283">
        <f t="shared" si="1"/>
        <v>0.135</v>
      </c>
      <c r="S27" s="289"/>
      <c r="T27" s="289"/>
      <c r="U27" s="289"/>
      <c r="V27" s="290"/>
      <c r="W27" s="279"/>
      <c r="Y27" s="83" t="s">
        <v>153</v>
      </c>
      <c r="Z27" s="283">
        <f t="shared" si="2"/>
        <v>0.14500000000000002</v>
      </c>
      <c r="AA27" s="289"/>
      <c r="AB27" s="289"/>
      <c r="AC27" s="289"/>
      <c r="AD27" s="290"/>
      <c r="AE27" s="279"/>
    </row>
    <row r="28" spans="1:31" s="97" customFormat="1" ht="13.5" customHeight="1">
      <c r="A28" s="553"/>
      <c r="B28" s="556"/>
      <c r="C28" s="546"/>
      <c r="D28" s="84" t="s">
        <v>39</v>
      </c>
      <c r="E28" s="556"/>
      <c r="F28" s="546"/>
      <c r="G28" s="540"/>
      <c r="H28" s="527"/>
      <c r="I28" s="150">
        <v>0.11499999999999999</v>
      </c>
      <c r="J28" s="509">
        <v>0.12</v>
      </c>
      <c r="K28" s="151">
        <v>0.13</v>
      </c>
      <c r="L28" s="561"/>
      <c r="M28" s="582">
        <f t="shared" si="3"/>
        <v>0.12499999999999999</v>
      </c>
      <c r="N28" s="583">
        <f t="shared" si="4"/>
        <v>0.13</v>
      </c>
      <c r="O28" s="584">
        <f t="shared" si="5"/>
        <v>0.14</v>
      </c>
      <c r="P28" s="260"/>
      <c r="Q28" s="83" t="s">
        <v>152</v>
      </c>
      <c r="R28" s="283">
        <f t="shared" si="1"/>
        <v>0.12</v>
      </c>
      <c r="S28" s="289"/>
      <c r="T28" s="289"/>
      <c r="U28" s="289"/>
      <c r="V28" s="290"/>
      <c r="W28" s="279"/>
      <c r="Y28" s="83" t="s">
        <v>152</v>
      </c>
      <c r="Z28" s="283">
        <f t="shared" si="2"/>
        <v>0.13</v>
      </c>
      <c r="AA28" s="289"/>
      <c r="AB28" s="289"/>
      <c r="AC28" s="289"/>
      <c r="AD28" s="290"/>
      <c r="AE28" s="279"/>
    </row>
    <row r="29" spans="1:31" s="97" customFormat="1" ht="13.5" customHeight="1">
      <c r="A29" s="553"/>
      <c r="B29" s="556"/>
      <c r="C29" s="546"/>
      <c r="D29" s="84" t="s">
        <v>40</v>
      </c>
      <c r="E29" s="556"/>
      <c r="F29" s="546"/>
      <c r="G29" s="540"/>
      <c r="H29" s="527"/>
      <c r="I29" s="150">
        <v>0.11000000000000001</v>
      </c>
      <c r="J29" s="509">
        <v>0.11499999999999999</v>
      </c>
      <c r="K29" s="151">
        <v>0.12</v>
      </c>
      <c r="L29" s="561"/>
      <c r="M29" s="582">
        <f t="shared" si="3"/>
        <v>0.12000000000000001</v>
      </c>
      <c r="N29" s="583">
        <f t="shared" si="4"/>
        <v>0.12499999999999999</v>
      </c>
      <c r="O29" s="584">
        <f t="shared" si="5"/>
        <v>0.13</v>
      </c>
      <c r="P29" s="260"/>
      <c r="Q29" s="83"/>
      <c r="R29" s="283">
        <f t="shared" si="1"/>
        <v>0.11499999999999999</v>
      </c>
      <c r="S29" s="289"/>
      <c r="T29" s="289"/>
      <c r="U29" s="289"/>
      <c r="V29" s="290"/>
      <c r="W29" s="279"/>
      <c r="Y29" s="83"/>
      <c r="Z29" s="283">
        <f t="shared" si="2"/>
        <v>0.12499999999999999</v>
      </c>
      <c r="AA29" s="289"/>
      <c r="AB29" s="289"/>
      <c r="AC29" s="289"/>
      <c r="AD29" s="290"/>
      <c r="AE29" s="279"/>
    </row>
    <row r="30" spans="1:31" s="97" customFormat="1" ht="13.5" customHeight="1">
      <c r="A30" s="553"/>
      <c r="B30" s="557"/>
      <c r="C30" s="550"/>
      <c r="D30" s="84" t="s">
        <v>41</v>
      </c>
      <c r="E30" s="557"/>
      <c r="F30" s="550"/>
      <c r="G30" s="540"/>
      <c r="H30" s="528"/>
      <c r="I30" s="150">
        <v>0.10500000000000001</v>
      </c>
      <c r="J30" s="509">
        <v>0.11000000000000001</v>
      </c>
      <c r="K30" s="151">
        <v>0.11499999999999999</v>
      </c>
      <c r="L30" s="562"/>
      <c r="M30" s="582">
        <f t="shared" si="3"/>
        <v>0.115</v>
      </c>
      <c r="N30" s="583">
        <f t="shared" si="4"/>
        <v>0.12000000000000001</v>
      </c>
      <c r="O30" s="584">
        <f t="shared" si="5"/>
        <v>0.12499999999999999</v>
      </c>
      <c r="P30" s="260"/>
      <c r="Q30" s="258"/>
      <c r="R30" s="285">
        <f t="shared" si="1"/>
        <v>0.11000000000000001</v>
      </c>
      <c r="S30" s="285">
        <f>IF($S$1=0,R27,IF(OR($S$1=10,$S$1=20),R28,IF($S$1=30,R29,R30)))</f>
        <v>0.12</v>
      </c>
      <c r="T30" s="285">
        <f>IF($T$1&lt;&gt;1,S30,S26)</f>
        <v>0.15</v>
      </c>
      <c r="U30" s="285">
        <f>IF($U$1="да",T30,T22)</f>
        <v>0.15</v>
      </c>
      <c r="V30" s="290"/>
      <c r="W30" s="279"/>
      <c r="Y30" s="258"/>
      <c r="Z30" s="285">
        <f t="shared" si="2"/>
        <v>0.12000000000000001</v>
      </c>
      <c r="AA30" s="285">
        <f>IF($S$1=0,Z27,IF(OR($S$1=10,$S$1=20),Z28,IF($S$1=30,Z29,Z30)))</f>
        <v>0.13</v>
      </c>
      <c r="AB30" s="285">
        <f>IF($T$1&lt;&gt;1,AA30,AA26)</f>
        <v>0.16</v>
      </c>
      <c r="AC30" s="285">
        <f>IF($U$1="да",AB30,AB22)</f>
        <v>0.16</v>
      </c>
      <c r="AD30" s="290"/>
      <c r="AE30" s="279"/>
    </row>
    <row r="31" spans="1:31" s="97" customFormat="1" ht="13.5" customHeight="1">
      <c r="A31" s="553"/>
      <c r="B31" s="548" t="s">
        <v>42</v>
      </c>
      <c r="C31" s="541" t="s">
        <v>32</v>
      </c>
      <c r="D31" s="84" t="s">
        <v>33</v>
      </c>
      <c r="E31" s="98" t="s">
        <v>34</v>
      </c>
      <c r="F31" s="90" t="s">
        <v>49</v>
      </c>
      <c r="G31" s="540"/>
      <c r="H31" s="532" t="s">
        <v>50</v>
      </c>
      <c r="I31" s="150">
        <v>0.145</v>
      </c>
      <c r="J31" s="509">
        <v>0.145</v>
      </c>
      <c r="K31" s="151">
        <v>0.155</v>
      </c>
      <c r="L31" s="542">
        <v>6000</v>
      </c>
      <c r="M31" s="582">
        <f t="shared" si="3"/>
        <v>0.155</v>
      </c>
      <c r="N31" s="583">
        <f t="shared" si="4"/>
        <v>0.155</v>
      </c>
      <c r="O31" s="584">
        <f t="shared" si="5"/>
        <v>0.165</v>
      </c>
      <c r="P31" s="260"/>
      <c r="Q31" s="83" t="s">
        <v>149</v>
      </c>
      <c r="R31" s="283">
        <f t="shared" si="1"/>
        <v>0.145</v>
      </c>
      <c r="S31" s="289"/>
      <c r="T31" s="289"/>
      <c r="U31" s="289"/>
      <c r="V31" s="290"/>
      <c r="W31" s="279"/>
      <c r="Y31" s="83" t="s">
        <v>149</v>
      </c>
      <c r="Z31" s="283">
        <f t="shared" si="2"/>
        <v>0.155</v>
      </c>
      <c r="AA31" s="289"/>
      <c r="AB31" s="289"/>
      <c r="AC31" s="289"/>
      <c r="AD31" s="290"/>
      <c r="AE31" s="279"/>
    </row>
    <row r="32" spans="1:31" s="97" customFormat="1" ht="13.5" customHeight="1">
      <c r="A32" s="553"/>
      <c r="B32" s="556"/>
      <c r="C32" s="546"/>
      <c r="D32" s="84" t="s">
        <v>39</v>
      </c>
      <c r="E32" s="548" t="s">
        <v>44</v>
      </c>
      <c r="F32" s="548" t="s">
        <v>52</v>
      </c>
      <c r="G32" s="540"/>
      <c r="H32" s="538"/>
      <c r="I32" s="150">
        <v>0.135</v>
      </c>
      <c r="J32" s="509">
        <v>0.14</v>
      </c>
      <c r="K32" s="151">
        <v>0.15</v>
      </c>
      <c r="L32" s="561"/>
      <c r="M32" s="582">
        <f t="shared" si="3"/>
        <v>0.14500000000000002</v>
      </c>
      <c r="N32" s="583">
        <f t="shared" si="4"/>
        <v>0.15000000000000002</v>
      </c>
      <c r="O32" s="584">
        <f t="shared" si="5"/>
        <v>0.16</v>
      </c>
      <c r="P32" s="260"/>
      <c r="Q32" s="83"/>
      <c r="R32" s="283">
        <f t="shared" si="1"/>
        <v>0.14</v>
      </c>
      <c r="S32" s="289"/>
      <c r="T32" s="289"/>
      <c r="U32" s="289"/>
      <c r="V32" s="290"/>
      <c r="W32" s="279"/>
      <c r="Y32" s="83"/>
      <c r="Z32" s="283">
        <f t="shared" si="2"/>
        <v>0.15000000000000002</v>
      </c>
      <c r="AA32" s="289"/>
      <c r="AB32" s="289"/>
      <c r="AC32" s="289"/>
      <c r="AD32" s="290"/>
      <c r="AE32" s="279"/>
    </row>
    <row r="33" spans="1:31" s="97" customFormat="1" ht="13.5" customHeight="1">
      <c r="A33" s="553"/>
      <c r="B33" s="556"/>
      <c r="C33" s="546"/>
      <c r="D33" s="84" t="s">
        <v>40</v>
      </c>
      <c r="E33" s="556"/>
      <c r="F33" s="556"/>
      <c r="G33" s="540"/>
      <c r="H33" s="538"/>
      <c r="I33" s="150">
        <v>0.13</v>
      </c>
      <c r="J33" s="509">
        <v>0.135</v>
      </c>
      <c r="K33" s="151">
        <v>0.14</v>
      </c>
      <c r="L33" s="561"/>
      <c r="M33" s="582">
        <f t="shared" si="3"/>
        <v>0.14</v>
      </c>
      <c r="N33" s="583">
        <f t="shared" si="4"/>
        <v>0.14500000000000002</v>
      </c>
      <c r="O33" s="584">
        <f t="shared" si="5"/>
        <v>0.15000000000000002</v>
      </c>
      <c r="P33" s="260"/>
      <c r="Q33" s="83"/>
      <c r="R33" s="283">
        <f t="shared" si="1"/>
        <v>0.135</v>
      </c>
      <c r="S33" s="289"/>
      <c r="T33" s="289"/>
      <c r="U33" s="289"/>
      <c r="V33" s="290"/>
      <c r="W33" s="279"/>
      <c r="Y33" s="83"/>
      <c r="Z33" s="283">
        <f t="shared" si="2"/>
        <v>0.14500000000000002</v>
      </c>
      <c r="AA33" s="289"/>
      <c r="AB33" s="289"/>
      <c r="AC33" s="289"/>
      <c r="AD33" s="290"/>
      <c r="AE33" s="279"/>
    </row>
    <row r="34" spans="1:31" s="97" customFormat="1" ht="13.5" customHeight="1">
      <c r="A34" s="553"/>
      <c r="B34" s="556"/>
      <c r="C34" s="550"/>
      <c r="D34" s="84" t="s">
        <v>41</v>
      </c>
      <c r="E34" s="556"/>
      <c r="F34" s="557"/>
      <c r="G34" s="540"/>
      <c r="H34" s="530"/>
      <c r="I34" s="150">
        <v>0.125</v>
      </c>
      <c r="J34" s="509">
        <v>0.13</v>
      </c>
      <c r="K34" s="151">
        <v>0.135</v>
      </c>
      <c r="L34" s="562"/>
      <c r="M34" s="582">
        <f t="shared" si="3"/>
        <v>0.135</v>
      </c>
      <c r="N34" s="583">
        <f t="shared" si="4"/>
        <v>0.14</v>
      </c>
      <c r="O34" s="584">
        <f t="shared" si="5"/>
        <v>0.14500000000000002</v>
      </c>
      <c r="P34" s="260"/>
      <c r="Q34" s="258"/>
      <c r="R34" s="285">
        <f t="shared" si="1"/>
        <v>0.13</v>
      </c>
      <c r="S34" s="285">
        <f>IF($S$1=0,R31,IF(OR($S$1=10,$S$1=20),R32,IF($S$1=30,R33,R34)))</f>
        <v>0.14</v>
      </c>
      <c r="T34" s="290"/>
      <c r="U34" s="290"/>
      <c r="V34" s="290"/>
      <c r="W34" s="279"/>
      <c r="Y34" s="258"/>
      <c r="Z34" s="285">
        <f t="shared" si="2"/>
        <v>0.14</v>
      </c>
      <c r="AA34" s="285">
        <f>IF($S$1=0,Z31,IF(OR($S$1=10,$S$1=20),Z32,IF($S$1=30,Z33,Z34)))</f>
        <v>0.15000000000000002</v>
      </c>
      <c r="AB34" s="290"/>
      <c r="AC34" s="290"/>
      <c r="AD34" s="290"/>
      <c r="AE34" s="279"/>
    </row>
    <row r="35" spans="1:31" s="97" customFormat="1" ht="13.5" customHeight="1">
      <c r="A35" s="553"/>
      <c r="B35" s="556"/>
      <c r="C35" s="541" t="s">
        <v>46</v>
      </c>
      <c r="D35" s="84" t="s">
        <v>33</v>
      </c>
      <c r="E35" s="98" t="s">
        <v>34</v>
      </c>
      <c r="F35" s="90" t="s">
        <v>49</v>
      </c>
      <c r="G35" s="540"/>
      <c r="H35" s="526" t="s">
        <v>51</v>
      </c>
      <c r="I35" s="150">
        <v>0.115</v>
      </c>
      <c r="J35" s="509">
        <v>0.115</v>
      </c>
      <c r="K35" s="151">
        <v>0.125</v>
      </c>
      <c r="L35" s="519">
        <v>200</v>
      </c>
      <c r="M35" s="582">
        <f t="shared" si="3"/>
        <v>0.125</v>
      </c>
      <c r="N35" s="583">
        <f t="shared" si="4"/>
        <v>0.125</v>
      </c>
      <c r="O35" s="584">
        <f t="shared" si="5"/>
        <v>0.135</v>
      </c>
      <c r="P35" s="260"/>
      <c r="Q35" s="83" t="s">
        <v>150</v>
      </c>
      <c r="R35" s="283">
        <f t="shared" si="1"/>
        <v>0.115</v>
      </c>
      <c r="S35" s="289"/>
      <c r="T35" s="289"/>
      <c r="U35" s="289"/>
      <c r="V35" s="290"/>
      <c r="W35" s="279"/>
      <c r="Y35" s="83" t="s">
        <v>150</v>
      </c>
      <c r="Z35" s="283">
        <f t="shared" si="2"/>
        <v>0.125</v>
      </c>
      <c r="AA35" s="289"/>
      <c r="AB35" s="289"/>
      <c r="AC35" s="289"/>
      <c r="AD35" s="290"/>
      <c r="AE35" s="279"/>
    </row>
    <row r="36" spans="1:31" s="97" customFormat="1" ht="13.5" customHeight="1">
      <c r="A36" s="553"/>
      <c r="B36" s="556"/>
      <c r="C36" s="546"/>
      <c r="D36" s="84" t="s">
        <v>39</v>
      </c>
      <c r="E36" s="548" t="s">
        <v>44</v>
      </c>
      <c r="F36" s="548" t="s">
        <v>53</v>
      </c>
      <c r="G36" s="540"/>
      <c r="H36" s="527"/>
      <c r="I36" s="152">
        <v>0.105</v>
      </c>
      <c r="J36" s="151">
        <v>0.11</v>
      </c>
      <c r="K36" s="151">
        <v>0.12</v>
      </c>
      <c r="L36" s="520"/>
      <c r="M36" s="582">
        <f t="shared" si="3"/>
        <v>0.11499999999999999</v>
      </c>
      <c r="N36" s="583">
        <f t="shared" si="4"/>
        <v>0.12</v>
      </c>
      <c r="O36" s="584">
        <f t="shared" si="5"/>
        <v>0.13</v>
      </c>
      <c r="P36" s="260"/>
      <c r="Q36" s="83"/>
      <c r="R36" s="283">
        <f t="shared" si="1"/>
        <v>0.11</v>
      </c>
      <c r="S36" s="289"/>
      <c r="T36" s="289"/>
      <c r="U36" s="289"/>
      <c r="V36" s="289"/>
      <c r="W36" s="279"/>
      <c r="Y36" s="83"/>
      <c r="Z36" s="283">
        <f t="shared" si="2"/>
        <v>0.12</v>
      </c>
      <c r="AA36" s="289"/>
      <c r="AB36" s="289"/>
      <c r="AC36" s="289"/>
      <c r="AD36" s="289"/>
      <c r="AE36" s="279"/>
    </row>
    <row r="37" spans="1:31" s="97" customFormat="1" ht="13.5" customHeight="1">
      <c r="A37" s="553"/>
      <c r="B37" s="556"/>
      <c r="C37" s="546"/>
      <c r="D37" s="84" t="s">
        <v>40</v>
      </c>
      <c r="E37" s="556"/>
      <c r="F37" s="556"/>
      <c r="G37" s="540"/>
      <c r="H37" s="527"/>
      <c r="I37" s="150">
        <v>0.1</v>
      </c>
      <c r="J37" s="509">
        <v>0.105</v>
      </c>
      <c r="K37" s="151">
        <v>0.11</v>
      </c>
      <c r="L37" s="520"/>
      <c r="M37" s="582">
        <f t="shared" si="3"/>
        <v>0.11</v>
      </c>
      <c r="N37" s="583">
        <f t="shared" si="4"/>
        <v>0.11499999999999999</v>
      </c>
      <c r="O37" s="584">
        <f t="shared" si="5"/>
        <v>0.12</v>
      </c>
      <c r="P37" s="260"/>
      <c r="Q37" s="83"/>
      <c r="R37" s="283">
        <f t="shared" si="1"/>
        <v>0.105</v>
      </c>
      <c r="S37" s="289"/>
      <c r="T37" s="289"/>
      <c r="U37" s="289"/>
      <c r="V37" s="289"/>
      <c r="W37" s="279"/>
      <c r="Y37" s="83"/>
      <c r="Z37" s="283">
        <f t="shared" si="2"/>
        <v>0.11499999999999999</v>
      </c>
      <c r="AA37" s="289"/>
      <c r="AB37" s="289"/>
      <c r="AC37" s="289"/>
      <c r="AD37" s="289"/>
      <c r="AE37" s="279"/>
    </row>
    <row r="38" spans="1:31" s="97" customFormat="1" ht="13.5" customHeight="1" thickBot="1">
      <c r="A38" s="554"/>
      <c r="B38" s="549"/>
      <c r="C38" s="547"/>
      <c r="D38" s="91" t="s">
        <v>41</v>
      </c>
      <c r="E38" s="556"/>
      <c r="F38" s="549"/>
      <c r="G38" s="533"/>
      <c r="H38" s="529"/>
      <c r="I38" s="153">
        <v>0.095</v>
      </c>
      <c r="J38" s="512">
        <v>0.1</v>
      </c>
      <c r="K38" s="154">
        <v>0.105</v>
      </c>
      <c r="L38" s="521"/>
      <c r="M38" s="585">
        <f t="shared" si="3"/>
        <v>0.105</v>
      </c>
      <c r="N38" s="586">
        <f t="shared" si="4"/>
        <v>0.11</v>
      </c>
      <c r="O38" s="584">
        <f t="shared" si="5"/>
        <v>0.11499999999999999</v>
      </c>
      <c r="P38" s="260"/>
      <c r="Q38" s="265"/>
      <c r="R38" s="287">
        <f t="shared" si="1"/>
        <v>0.1</v>
      </c>
      <c r="S38" s="287">
        <f>IF($S$1=0,R35,IF(OR($S$1=10,$S$1=20),R36,IF($S$1=30,R37,R38)))</f>
        <v>0.11</v>
      </c>
      <c r="T38" s="287">
        <f>IF($T$1&lt;&gt;1,S38,S34)</f>
        <v>0.14</v>
      </c>
      <c r="U38" s="287">
        <f>T38</f>
        <v>0.14</v>
      </c>
      <c r="V38" s="287">
        <f>IF($V$1=2,U38,U30)</f>
        <v>0.15</v>
      </c>
      <c r="W38" s="279"/>
      <c r="Y38" s="265"/>
      <c r="Z38" s="287">
        <f t="shared" si="2"/>
        <v>0.11</v>
      </c>
      <c r="AA38" s="287">
        <f>IF($S$1=0,Z35,IF(OR($S$1=10,$S$1=20),Z36,IF($S$1=30,Z37,Z38)))</f>
        <v>0.12</v>
      </c>
      <c r="AB38" s="287">
        <f>IF($T$1&lt;&gt;1,AA38,AA34)</f>
        <v>0.15000000000000002</v>
      </c>
      <c r="AC38" s="287">
        <f>AB38</f>
        <v>0.15000000000000002</v>
      </c>
      <c r="AD38" s="287">
        <f>IF($V$1=2,AC38,AC30)</f>
        <v>0.16</v>
      </c>
      <c r="AE38" s="279"/>
    </row>
    <row r="39" spans="1:26" ht="13.5" customHeight="1">
      <c r="A39" s="620" t="s">
        <v>54</v>
      </c>
      <c r="B39" s="623" t="s">
        <v>55</v>
      </c>
      <c r="C39" s="555" t="s">
        <v>32</v>
      </c>
      <c r="D39" s="102" t="s">
        <v>56</v>
      </c>
      <c r="E39" s="625" t="s">
        <v>34</v>
      </c>
      <c r="F39" s="555" t="s">
        <v>35</v>
      </c>
      <c r="G39" s="634" t="s">
        <v>36</v>
      </c>
      <c r="H39" s="635" t="s">
        <v>57</v>
      </c>
      <c r="I39" s="522">
        <v>0.22</v>
      </c>
      <c r="J39" s="523"/>
      <c r="K39" s="524"/>
      <c r="L39" s="525">
        <v>6000</v>
      </c>
      <c r="M39" s="522">
        <v>0.23</v>
      </c>
      <c r="N39" s="523"/>
      <c r="O39" s="618"/>
      <c r="P39" s="260"/>
      <c r="Q39" s="266" t="s">
        <v>145</v>
      </c>
      <c r="R39" s="67">
        <f>I39</f>
        <v>0.22</v>
      </c>
      <c r="Y39" s="266" t="s">
        <v>145</v>
      </c>
      <c r="Z39" s="67">
        <f>M39</f>
        <v>0.23</v>
      </c>
    </row>
    <row r="40" spans="1:29" ht="13.5" customHeight="1">
      <c r="A40" s="621"/>
      <c r="B40" s="624"/>
      <c r="C40" s="556"/>
      <c r="D40" s="96" t="s">
        <v>58</v>
      </c>
      <c r="E40" s="626"/>
      <c r="F40" s="556"/>
      <c r="G40" s="540"/>
      <c r="H40" s="636"/>
      <c r="I40" s="615">
        <v>0.2</v>
      </c>
      <c r="J40" s="616"/>
      <c r="K40" s="617"/>
      <c r="L40" s="613"/>
      <c r="M40" s="615">
        <v>0.21</v>
      </c>
      <c r="N40" s="616"/>
      <c r="O40" s="619"/>
      <c r="P40" s="260"/>
      <c r="Q40" s="267"/>
      <c r="R40" s="262">
        <f aca="true" t="shared" si="6" ref="R40:R66">I40</f>
        <v>0.2</v>
      </c>
      <c r="S40" s="285">
        <f>IF($S$2=30,R40,R39)</f>
        <v>0.2</v>
      </c>
      <c r="T40" s="262">
        <f>S40</f>
        <v>0.2</v>
      </c>
      <c r="U40" s="262">
        <f>T40</f>
        <v>0.2</v>
      </c>
      <c r="Y40" s="267"/>
      <c r="Z40" s="262">
        <f aca="true" t="shared" si="7" ref="Z40:Z66">M40</f>
        <v>0.21</v>
      </c>
      <c r="AA40" s="285">
        <f>IF($S$2=30,Z40,Z39)</f>
        <v>0.21</v>
      </c>
      <c r="AB40" s="262">
        <f>AA40</f>
        <v>0.21</v>
      </c>
      <c r="AC40" s="262">
        <f>AB40</f>
        <v>0.21</v>
      </c>
    </row>
    <row r="41" spans="1:26" ht="13.5" customHeight="1">
      <c r="A41" s="621"/>
      <c r="B41" s="628" t="s">
        <v>42</v>
      </c>
      <c r="C41" s="556"/>
      <c r="D41" s="96" t="s">
        <v>56</v>
      </c>
      <c r="E41" s="626"/>
      <c r="F41" s="556"/>
      <c r="G41" s="540"/>
      <c r="H41" s="636"/>
      <c r="I41" s="615">
        <v>0.2</v>
      </c>
      <c r="J41" s="616"/>
      <c r="K41" s="617"/>
      <c r="L41" s="613"/>
      <c r="M41" s="615">
        <v>0.21</v>
      </c>
      <c r="N41" s="616"/>
      <c r="O41" s="619"/>
      <c r="P41" s="260"/>
      <c r="Q41" s="266" t="s">
        <v>146</v>
      </c>
      <c r="R41" s="67">
        <f t="shared" si="6"/>
        <v>0.2</v>
      </c>
      <c r="Y41" s="266" t="s">
        <v>146</v>
      </c>
      <c r="Z41" s="67">
        <f t="shared" si="7"/>
        <v>0.21</v>
      </c>
    </row>
    <row r="42" spans="1:30" ht="13.5" customHeight="1" thickBot="1">
      <c r="A42" s="622"/>
      <c r="B42" s="629"/>
      <c r="C42" s="549"/>
      <c r="D42" s="100" t="s">
        <v>58</v>
      </c>
      <c r="E42" s="627"/>
      <c r="F42" s="549"/>
      <c r="G42" s="533"/>
      <c r="H42" s="637"/>
      <c r="I42" s="630">
        <v>0.18</v>
      </c>
      <c r="J42" s="631"/>
      <c r="K42" s="632"/>
      <c r="L42" s="614"/>
      <c r="M42" s="630">
        <v>0.19</v>
      </c>
      <c r="N42" s="631"/>
      <c r="O42" s="633"/>
      <c r="P42" s="260"/>
      <c r="Q42" s="268"/>
      <c r="R42" s="264">
        <f t="shared" si="6"/>
        <v>0.18</v>
      </c>
      <c r="S42" s="287">
        <f>IF($S$2=30,R42,R41)</f>
        <v>0.18</v>
      </c>
      <c r="T42" s="264">
        <f>S42</f>
        <v>0.18</v>
      </c>
      <c r="U42" s="264">
        <f>T42</f>
        <v>0.18</v>
      </c>
      <c r="V42" s="264">
        <f>IF($V$1=2,U42,U40)</f>
        <v>0.2</v>
      </c>
      <c r="Y42" s="268"/>
      <c r="Z42" s="264">
        <f t="shared" si="7"/>
        <v>0.19</v>
      </c>
      <c r="AA42" s="287">
        <f>IF($S$2=30,Z42,Z41)</f>
        <v>0.19</v>
      </c>
      <c r="AB42" s="264">
        <f>AA42</f>
        <v>0.19</v>
      </c>
      <c r="AC42" s="264">
        <f>AB42</f>
        <v>0.19</v>
      </c>
      <c r="AD42" s="264">
        <f>IF($V$1=2,AC42,AC40)</f>
        <v>0.21</v>
      </c>
    </row>
    <row r="43" spans="1:26" ht="13.5" customHeight="1">
      <c r="A43" s="638" t="s">
        <v>59</v>
      </c>
      <c r="B43" s="640" t="s">
        <v>55</v>
      </c>
      <c r="C43" s="556" t="s">
        <v>32</v>
      </c>
      <c r="D43" s="93" t="s">
        <v>56</v>
      </c>
      <c r="E43" s="626" t="s">
        <v>34</v>
      </c>
      <c r="F43" s="556" t="s">
        <v>35</v>
      </c>
      <c r="G43" s="540" t="s">
        <v>36</v>
      </c>
      <c r="H43" s="641" t="s">
        <v>57</v>
      </c>
      <c r="I43" s="643">
        <v>0.2</v>
      </c>
      <c r="J43" s="644"/>
      <c r="K43" s="645"/>
      <c r="L43" s="646">
        <v>6000</v>
      </c>
      <c r="M43" s="643">
        <v>0.21</v>
      </c>
      <c r="N43" s="644"/>
      <c r="O43" s="647"/>
      <c r="P43" s="260"/>
      <c r="Q43" s="266" t="s">
        <v>145</v>
      </c>
      <c r="R43" s="67">
        <f t="shared" si="6"/>
        <v>0.2</v>
      </c>
      <c r="Y43" s="266" t="s">
        <v>145</v>
      </c>
      <c r="Z43" s="67">
        <f t="shared" si="7"/>
        <v>0.21</v>
      </c>
    </row>
    <row r="44" spans="1:29" ht="13.5" customHeight="1">
      <c r="A44" s="638"/>
      <c r="B44" s="624"/>
      <c r="C44" s="556"/>
      <c r="D44" s="96" t="s">
        <v>58</v>
      </c>
      <c r="E44" s="626"/>
      <c r="F44" s="556"/>
      <c r="G44" s="540"/>
      <c r="H44" s="641"/>
      <c r="I44" s="643">
        <v>0.18</v>
      </c>
      <c r="J44" s="644"/>
      <c r="K44" s="645"/>
      <c r="L44" s="613"/>
      <c r="M44" s="643">
        <v>0.19</v>
      </c>
      <c r="N44" s="644"/>
      <c r="O44" s="647"/>
      <c r="P44" s="260"/>
      <c r="Q44" s="267"/>
      <c r="R44" s="262">
        <f t="shared" si="6"/>
        <v>0.18</v>
      </c>
      <c r="S44" s="285">
        <f>IF($S$2=30,R44,R43)</f>
        <v>0.18</v>
      </c>
      <c r="T44" s="262">
        <f>S44</f>
        <v>0.18</v>
      </c>
      <c r="U44" s="262">
        <f>T44</f>
        <v>0.18</v>
      </c>
      <c r="Y44" s="267"/>
      <c r="Z44" s="262">
        <f t="shared" si="7"/>
        <v>0.19</v>
      </c>
      <c r="AA44" s="285">
        <f>IF($S$2=30,Z44,Z43)</f>
        <v>0.19</v>
      </c>
      <c r="AB44" s="262">
        <f>AA44</f>
        <v>0.19</v>
      </c>
      <c r="AC44" s="262">
        <f>AB44</f>
        <v>0.19</v>
      </c>
    </row>
    <row r="45" spans="1:26" ht="13.5" customHeight="1">
      <c r="A45" s="638"/>
      <c r="B45" s="628" t="s">
        <v>42</v>
      </c>
      <c r="C45" s="556"/>
      <c r="D45" s="96" t="s">
        <v>56</v>
      </c>
      <c r="E45" s="626"/>
      <c r="F45" s="556"/>
      <c r="G45" s="540"/>
      <c r="H45" s="641"/>
      <c r="I45" s="643">
        <v>0.18</v>
      </c>
      <c r="J45" s="644"/>
      <c r="K45" s="645"/>
      <c r="L45" s="648">
        <v>6000</v>
      </c>
      <c r="M45" s="643">
        <v>0.19</v>
      </c>
      <c r="N45" s="644"/>
      <c r="O45" s="647"/>
      <c r="P45" s="260"/>
      <c r="Q45" s="266" t="s">
        <v>146</v>
      </c>
      <c r="R45" s="67">
        <f t="shared" si="6"/>
        <v>0.18</v>
      </c>
      <c r="Y45" s="266" t="s">
        <v>146</v>
      </c>
      <c r="Z45" s="67">
        <f t="shared" si="7"/>
        <v>0.19</v>
      </c>
    </row>
    <row r="46" spans="1:30" ht="13.5" customHeight="1" thickBot="1">
      <c r="A46" s="639"/>
      <c r="B46" s="629"/>
      <c r="C46" s="549"/>
      <c r="D46" s="100" t="s">
        <v>58</v>
      </c>
      <c r="E46" s="627"/>
      <c r="F46" s="549"/>
      <c r="G46" s="533"/>
      <c r="H46" s="642"/>
      <c r="I46" s="649">
        <v>0.16</v>
      </c>
      <c r="J46" s="650"/>
      <c r="K46" s="651"/>
      <c r="L46" s="614"/>
      <c r="M46" s="649">
        <v>0.17</v>
      </c>
      <c r="N46" s="650"/>
      <c r="O46" s="652"/>
      <c r="P46" s="260"/>
      <c r="Q46" s="268"/>
      <c r="R46" s="264">
        <f t="shared" si="6"/>
        <v>0.16</v>
      </c>
      <c r="S46" s="287">
        <f>IF($S$2=30,R46,R45)</f>
        <v>0.16</v>
      </c>
      <c r="T46" s="264">
        <f>S46</f>
        <v>0.16</v>
      </c>
      <c r="U46" s="264">
        <f>T46</f>
        <v>0.16</v>
      </c>
      <c r="V46" s="264">
        <f>IF($V$1=2,U46,U44)</f>
        <v>0.18</v>
      </c>
      <c r="Y46" s="268"/>
      <c r="Z46" s="264">
        <f t="shared" si="7"/>
        <v>0.17</v>
      </c>
      <c r="AA46" s="287">
        <f>IF($S$2=30,Z46,Z45)</f>
        <v>0.17</v>
      </c>
      <c r="AB46" s="264">
        <f>AA46</f>
        <v>0.17</v>
      </c>
      <c r="AC46" s="264">
        <f>AB46</f>
        <v>0.17</v>
      </c>
      <c r="AD46" s="264">
        <f>IF($V$1=2,AC46,AC44)</f>
        <v>0.19</v>
      </c>
    </row>
    <row r="47" spans="1:26" ht="13.5" customHeight="1">
      <c r="A47" s="653" t="s">
        <v>60</v>
      </c>
      <c r="B47" s="623" t="s">
        <v>55</v>
      </c>
      <c r="C47" s="555" t="s">
        <v>32</v>
      </c>
      <c r="D47" s="102" t="s">
        <v>56</v>
      </c>
      <c r="E47" s="625" t="s">
        <v>61</v>
      </c>
      <c r="F47" s="555" t="s">
        <v>62</v>
      </c>
      <c r="G47" s="634" t="s">
        <v>36</v>
      </c>
      <c r="H47" s="654" t="s">
        <v>63</v>
      </c>
      <c r="I47" s="656">
        <v>0.175</v>
      </c>
      <c r="J47" s="657"/>
      <c r="K47" s="658"/>
      <c r="L47" s="525">
        <v>6000</v>
      </c>
      <c r="M47" s="656">
        <v>0.185</v>
      </c>
      <c r="N47" s="657"/>
      <c r="O47" s="661"/>
      <c r="P47" s="260"/>
      <c r="Q47" s="112" t="s">
        <v>147</v>
      </c>
      <c r="R47" s="67">
        <f t="shared" si="6"/>
        <v>0.175</v>
      </c>
      <c r="Y47" s="112" t="s">
        <v>147</v>
      </c>
      <c r="Z47" s="67">
        <f t="shared" si="7"/>
        <v>0.185</v>
      </c>
    </row>
    <row r="48" spans="1:27" ht="13.5" customHeight="1">
      <c r="A48" s="638"/>
      <c r="B48" s="640"/>
      <c r="C48" s="557"/>
      <c r="D48" s="96" t="s">
        <v>58</v>
      </c>
      <c r="E48" s="626"/>
      <c r="F48" s="556"/>
      <c r="G48" s="540"/>
      <c r="H48" s="655"/>
      <c r="I48" s="615">
        <v>0.155</v>
      </c>
      <c r="J48" s="616"/>
      <c r="K48" s="617"/>
      <c r="L48" s="660"/>
      <c r="M48" s="615">
        <v>0.165</v>
      </c>
      <c r="N48" s="616"/>
      <c r="O48" s="619"/>
      <c r="P48" s="260"/>
      <c r="Q48" s="269"/>
      <c r="R48" s="262">
        <f t="shared" si="6"/>
        <v>0.155</v>
      </c>
      <c r="S48" s="285">
        <f>IF($S$2=30,R48,R47)</f>
        <v>0.155</v>
      </c>
      <c r="Y48" s="269"/>
      <c r="Z48" s="262">
        <f t="shared" si="7"/>
        <v>0.165</v>
      </c>
      <c r="AA48" s="285">
        <f>IF($S$2=30,Z48,Z47)</f>
        <v>0.165</v>
      </c>
    </row>
    <row r="49" spans="1:26" ht="13.5" customHeight="1">
      <c r="A49" s="638"/>
      <c r="B49" s="640"/>
      <c r="C49" s="548" t="s">
        <v>64</v>
      </c>
      <c r="D49" s="96" t="s">
        <v>56</v>
      </c>
      <c r="E49" s="626"/>
      <c r="F49" s="556"/>
      <c r="G49" s="540"/>
      <c r="H49" s="526" t="s">
        <v>65</v>
      </c>
      <c r="I49" s="615">
        <v>0.135</v>
      </c>
      <c r="J49" s="616"/>
      <c r="K49" s="617"/>
      <c r="L49" s="662">
        <v>200</v>
      </c>
      <c r="M49" s="615">
        <v>0.145</v>
      </c>
      <c r="N49" s="616"/>
      <c r="O49" s="619"/>
      <c r="P49" s="260"/>
      <c r="Q49" s="112" t="s">
        <v>148</v>
      </c>
      <c r="R49" s="67">
        <f t="shared" si="6"/>
        <v>0.135</v>
      </c>
      <c r="Y49" s="112" t="s">
        <v>148</v>
      </c>
      <c r="Z49" s="67">
        <f t="shared" si="7"/>
        <v>0.145</v>
      </c>
    </row>
    <row r="50" spans="1:29" ht="13.5" customHeight="1">
      <c r="A50" s="638"/>
      <c r="B50" s="624"/>
      <c r="C50" s="557"/>
      <c r="D50" s="96" t="s">
        <v>58</v>
      </c>
      <c r="E50" s="626"/>
      <c r="F50" s="556"/>
      <c r="G50" s="540"/>
      <c r="H50" s="528"/>
      <c r="I50" s="615">
        <v>0.115</v>
      </c>
      <c r="J50" s="616"/>
      <c r="K50" s="617"/>
      <c r="L50" s="663"/>
      <c r="M50" s="615">
        <v>0.125</v>
      </c>
      <c r="N50" s="616"/>
      <c r="O50" s="619"/>
      <c r="P50" s="260"/>
      <c r="Q50" s="269"/>
      <c r="R50" s="262">
        <f t="shared" si="6"/>
        <v>0.115</v>
      </c>
      <c r="S50" s="285">
        <f>IF($S$2=30,R50,R49)</f>
        <v>0.115</v>
      </c>
      <c r="T50" s="285">
        <f>IF($T$1&lt;&gt;1,S50,S48)</f>
        <v>0.155</v>
      </c>
      <c r="U50" s="262">
        <f>T50</f>
        <v>0.155</v>
      </c>
      <c r="Y50" s="269"/>
      <c r="Z50" s="262">
        <f t="shared" si="7"/>
        <v>0.125</v>
      </c>
      <c r="AA50" s="285">
        <f>IF($S$2=30,Z50,Z49)</f>
        <v>0.125</v>
      </c>
      <c r="AB50" s="285">
        <f>IF($T$1&lt;&gt;1,AA50,AA48)</f>
        <v>0.165</v>
      </c>
      <c r="AC50" s="262">
        <f>AB50</f>
        <v>0.165</v>
      </c>
    </row>
    <row r="51" spans="1:26" ht="13.5" customHeight="1">
      <c r="A51" s="638"/>
      <c r="B51" s="628" t="s">
        <v>42</v>
      </c>
      <c r="C51" s="548" t="s">
        <v>32</v>
      </c>
      <c r="D51" s="96" t="s">
        <v>56</v>
      </c>
      <c r="E51" s="626"/>
      <c r="F51" s="556"/>
      <c r="G51" s="540"/>
      <c r="H51" s="659" t="s">
        <v>63</v>
      </c>
      <c r="I51" s="615">
        <v>0.155</v>
      </c>
      <c r="J51" s="616"/>
      <c r="K51" s="617"/>
      <c r="L51" s="648">
        <v>6000</v>
      </c>
      <c r="M51" s="615">
        <v>0.165</v>
      </c>
      <c r="N51" s="616"/>
      <c r="O51" s="619"/>
      <c r="P51" s="260"/>
      <c r="Q51" s="112" t="s">
        <v>149</v>
      </c>
      <c r="R51" s="67">
        <f t="shared" si="6"/>
        <v>0.155</v>
      </c>
      <c r="Y51" s="112" t="s">
        <v>149</v>
      </c>
      <c r="Z51" s="67">
        <f t="shared" si="7"/>
        <v>0.165</v>
      </c>
    </row>
    <row r="52" spans="1:27" ht="13.5" customHeight="1">
      <c r="A52" s="638"/>
      <c r="B52" s="640"/>
      <c r="C52" s="557"/>
      <c r="D52" s="96" t="s">
        <v>58</v>
      </c>
      <c r="E52" s="626"/>
      <c r="F52" s="556"/>
      <c r="G52" s="540"/>
      <c r="H52" s="655"/>
      <c r="I52" s="615">
        <v>0.135</v>
      </c>
      <c r="J52" s="616"/>
      <c r="K52" s="617"/>
      <c r="L52" s="660"/>
      <c r="M52" s="615">
        <v>0.145</v>
      </c>
      <c r="N52" s="616"/>
      <c r="O52" s="619"/>
      <c r="P52" s="260"/>
      <c r="Q52" s="269"/>
      <c r="R52" s="262">
        <f t="shared" si="6"/>
        <v>0.135</v>
      </c>
      <c r="S52" s="285">
        <f>IF($S$2=30,R52,R51)</f>
        <v>0.135</v>
      </c>
      <c r="Y52" s="269"/>
      <c r="Z52" s="262">
        <f t="shared" si="7"/>
        <v>0.145</v>
      </c>
      <c r="AA52" s="285">
        <f>IF($S$2=30,Z52,Z51)</f>
        <v>0.145</v>
      </c>
    </row>
    <row r="53" spans="1:26" ht="13.5" customHeight="1">
      <c r="A53" s="638"/>
      <c r="B53" s="640"/>
      <c r="C53" s="548" t="s">
        <v>64</v>
      </c>
      <c r="D53" s="96" t="s">
        <v>56</v>
      </c>
      <c r="E53" s="626"/>
      <c r="F53" s="556"/>
      <c r="G53" s="540"/>
      <c r="H53" s="526" t="s">
        <v>65</v>
      </c>
      <c r="I53" s="615">
        <v>0.115</v>
      </c>
      <c r="J53" s="616"/>
      <c r="K53" s="617"/>
      <c r="L53" s="662">
        <v>200</v>
      </c>
      <c r="M53" s="615">
        <v>0.125</v>
      </c>
      <c r="N53" s="616"/>
      <c r="O53" s="619"/>
      <c r="P53" s="260"/>
      <c r="Q53" s="112" t="s">
        <v>150</v>
      </c>
      <c r="R53" s="67">
        <f t="shared" si="6"/>
        <v>0.115</v>
      </c>
      <c r="Y53" s="112" t="s">
        <v>150</v>
      </c>
      <c r="Z53" s="67">
        <f t="shared" si="7"/>
        <v>0.125</v>
      </c>
    </row>
    <row r="54" spans="1:30" ht="13.5" customHeight="1" thickBot="1">
      <c r="A54" s="639"/>
      <c r="B54" s="629"/>
      <c r="C54" s="549"/>
      <c r="D54" s="100" t="s">
        <v>58</v>
      </c>
      <c r="E54" s="627"/>
      <c r="F54" s="549"/>
      <c r="G54" s="533"/>
      <c r="H54" s="529"/>
      <c r="I54" s="649">
        <v>0.095</v>
      </c>
      <c r="J54" s="650"/>
      <c r="K54" s="651"/>
      <c r="L54" s="614"/>
      <c r="M54" s="649">
        <v>0.105</v>
      </c>
      <c r="N54" s="650"/>
      <c r="O54" s="652"/>
      <c r="P54" s="260"/>
      <c r="Q54" s="270"/>
      <c r="R54" s="264">
        <f t="shared" si="6"/>
        <v>0.095</v>
      </c>
      <c r="S54" s="287">
        <f>IF($S$2=30,R54,R53)</f>
        <v>0.095</v>
      </c>
      <c r="T54" s="287">
        <f>IF($T$1&lt;&gt;1,S54,S52)</f>
        <v>0.135</v>
      </c>
      <c r="U54" s="264">
        <f>T54</f>
        <v>0.135</v>
      </c>
      <c r="V54" s="264">
        <f>IF($V$1=2,U54,U50)</f>
        <v>0.155</v>
      </c>
      <c r="Y54" s="270"/>
      <c r="Z54" s="264">
        <f t="shared" si="7"/>
        <v>0.105</v>
      </c>
      <c r="AA54" s="287">
        <f>IF($S$2=30,Z54,Z53)</f>
        <v>0.105</v>
      </c>
      <c r="AB54" s="287">
        <f>IF($T$1&lt;&gt;1,AA54,AA52)</f>
        <v>0.145</v>
      </c>
      <c r="AC54" s="264">
        <f>AB54</f>
        <v>0.145</v>
      </c>
      <c r="AD54" s="264">
        <f>IF($V$1=2,AC54,AC50)</f>
        <v>0.165</v>
      </c>
    </row>
    <row r="55" spans="1:26" ht="13.5" customHeight="1">
      <c r="A55" s="653" t="s">
        <v>66</v>
      </c>
      <c r="B55" s="623" t="s">
        <v>55</v>
      </c>
      <c r="C55" s="555" t="s">
        <v>32</v>
      </c>
      <c r="D55" s="102" t="s">
        <v>56</v>
      </c>
      <c r="E55" s="625" t="s">
        <v>61</v>
      </c>
      <c r="F55" s="555" t="s">
        <v>67</v>
      </c>
      <c r="G55" s="634" t="s">
        <v>36</v>
      </c>
      <c r="H55" s="654" t="s">
        <v>63</v>
      </c>
      <c r="I55" s="656">
        <v>0.155</v>
      </c>
      <c r="J55" s="657"/>
      <c r="K55" s="658"/>
      <c r="L55" s="525">
        <v>6000</v>
      </c>
      <c r="M55" s="656">
        <v>0.165</v>
      </c>
      <c r="N55" s="657"/>
      <c r="O55" s="661"/>
      <c r="P55" s="260"/>
      <c r="Q55" s="112" t="s">
        <v>147</v>
      </c>
      <c r="R55" s="67">
        <f t="shared" si="6"/>
        <v>0.155</v>
      </c>
      <c r="Y55" s="112" t="s">
        <v>147</v>
      </c>
      <c r="Z55" s="67">
        <f t="shared" si="7"/>
        <v>0.165</v>
      </c>
    </row>
    <row r="56" spans="1:27" ht="13.5" customHeight="1">
      <c r="A56" s="638"/>
      <c r="B56" s="640"/>
      <c r="C56" s="557"/>
      <c r="D56" s="96" t="s">
        <v>58</v>
      </c>
      <c r="E56" s="626"/>
      <c r="F56" s="556"/>
      <c r="G56" s="540"/>
      <c r="H56" s="655"/>
      <c r="I56" s="615">
        <v>0.135</v>
      </c>
      <c r="J56" s="616"/>
      <c r="K56" s="617"/>
      <c r="L56" s="660"/>
      <c r="M56" s="615">
        <v>0.145</v>
      </c>
      <c r="N56" s="616"/>
      <c r="O56" s="619"/>
      <c r="P56" s="260"/>
      <c r="Q56" s="269"/>
      <c r="R56" s="262">
        <f t="shared" si="6"/>
        <v>0.135</v>
      </c>
      <c r="S56" s="285">
        <f>IF($S$2=30,R56,R55)</f>
        <v>0.135</v>
      </c>
      <c r="Y56" s="269"/>
      <c r="Z56" s="262">
        <f t="shared" si="7"/>
        <v>0.145</v>
      </c>
      <c r="AA56" s="285">
        <f>IF($S$2=30,Z56,Z55)</f>
        <v>0.145</v>
      </c>
    </row>
    <row r="57" spans="1:26" ht="13.5" customHeight="1">
      <c r="A57" s="638"/>
      <c r="B57" s="640"/>
      <c r="C57" s="548" t="s">
        <v>64</v>
      </c>
      <c r="D57" s="96" t="s">
        <v>56</v>
      </c>
      <c r="E57" s="626"/>
      <c r="F57" s="556"/>
      <c r="G57" s="540"/>
      <c r="H57" s="526" t="s">
        <v>65</v>
      </c>
      <c r="I57" s="615">
        <v>0.115</v>
      </c>
      <c r="J57" s="616"/>
      <c r="K57" s="617"/>
      <c r="L57" s="662">
        <v>200</v>
      </c>
      <c r="M57" s="615">
        <v>0.125</v>
      </c>
      <c r="N57" s="616"/>
      <c r="O57" s="619"/>
      <c r="P57" s="260"/>
      <c r="Q57" s="112" t="s">
        <v>148</v>
      </c>
      <c r="R57" s="67">
        <f t="shared" si="6"/>
        <v>0.115</v>
      </c>
      <c r="Y57" s="112" t="s">
        <v>148</v>
      </c>
      <c r="Z57" s="67">
        <f t="shared" si="7"/>
        <v>0.125</v>
      </c>
    </row>
    <row r="58" spans="1:29" ht="13.5" customHeight="1">
      <c r="A58" s="638"/>
      <c r="B58" s="624"/>
      <c r="C58" s="557"/>
      <c r="D58" s="103" t="s">
        <v>58</v>
      </c>
      <c r="E58" s="626"/>
      <c r="F58" s="556"/>
      <c r="G58" s="540"/>
      <c r="H58" s="528"/>
      <c r="I58" s="615">
        <v>0.095</v>
      </c>
      <c r="J58" s="616"/>
      <c r="K58" s="617"/>
      <c r="L58" s="663"/>
      <c r="M58" s="615">
        <v>0.105</v>
      </c>
      <c r="N58" s="616"/>
      <c r="O58" s="619"/>
      <c r="P58" s="260"/>
      <c r="Q58" s="269"/>
      <c r="R58" s="262">
        <f t="shared" si="6"/>
        <v>0.095</v>
      </c>
      <c r="S58" s="285">
        <f>IF($S$2=30,R58,R57)</f>
        <v>0.095</v>
      </c>
      <c r="T58" s="285">
        <f>IF($T$1&lt;&gt;1,S58,S56)</f>
        <v>0.135</v>
      </c>
      <c r="U58" s="262">
        <f>T58</f>
        <v>0.135</v>
      </c>
      <c r="Y58" s="269"/>
      <c r="Z58" s="262">
        <f t="shared" si="7"/>
        <v>0.105</v>
      </c>
      <c r="AA58" s="285">
        <f>IF($S$2=30,Z58,Z57)</f>
        <v>0.105</v>
      </c>
      <c r="AB58" s="285">
        <f>IF($T$1&lt;&gt;1,AA58,AA56)</f>
        <v>0.145</v>
      </c>
      <c r="AC58" s="262">
        <f>AB58</f>
        <v>0.145</v>
      </c>
    </row>
    <row r="59" spans="1:26" ht="13.5" customHeight="1">
      <c r="A59" s="638"/>
      <c r="B59" s="628" t="s">
        <v>42</v>
      </c>
      <c r="C59" s="548" t="s">
        <v>32</v>
      </c>
      <c r="D59" s="96" t="s">
        <v>56</v>
      </c>
      <c r="E59" s="626"/>
      <c r="F59" s="556"/>
      <c r="G59" s="540"/>
      <c r="H59" s="659" t="s">
        <v>63</v>
      </c>
      <c r="I59" s="615">
        <v>0.135</v>
      </c>
      <c r="J59" s="616"/>
      <c r="K59" s="617"/>
      <c r="L59" s="648">
        <v>6000</v>
      </c>
      <c r="M59" s="615">
        <v>0.145</v>
      </c>
      <c r="N59" s="616"/>
      <c r="O59" s="619"/>
      <c r="P59" s="260"/>
      <c r="Q59" s="112" t="s">
        <v>149</v>
      </c>
      <c r="R59" s="67">
        <f t="shared" si="6"/>
        <v>0.135</v>
      </c>
      <c r="Y59" s="112" t="s">
        <v>149</v>
      </c>
      <c r="Z59" s="67">
        <f t="shared" si="7"/>
        <v>0.145</v>
      </c>
    </row>
    <row r="60" spans="1:27" ht="13.5" customHeight="1">
      <c r="A60" s="638"/>
      <c r="B60" s="640"/>
      <c r="C60" s="557"/>
      <c r="D60" s="96" t="s">
        <v>58</v>
      </c>
      <c r="E60" s="626"/>
      <c r="F60" s="556"/>
      <c r="G60" s="540"/>
      <c r="H60" s="655"/>
      <c r="I60" s="615">
        <v>0.115</v>
      </c>
      <c r="J60" s="616"/>
      <c r="K60" s="617"/>
      <c r="L60" s="660"/>
      <c r="M60" s="615">
        <v>0.125</v>
      </c>
      <c r="N60" s="616"/>
      <c r="O60" s="619"/>
      <c r="P60" s="260"/>
      <c r="Q60" s="269"/>
      <c r="R60" s="262">
        <f t="shared" si="6"/>
        <v>0.115</v>
      </c>
      <c r="S60" s="285">
        <f>IF($S$2=30,R60,R59)</f>
        <v>0.115</v>
      </c>
      <c r="Y60" s="269"/>
      <c r="Z60" s="262">
        <f t="shared" si="7"/>
        <v>0.125</v>
      </c>
      <c r="AA60" s="285">
        <f>IF($S$2=30,Z60,Z59)</f>
        <v>0.125</v>
      </c>
    </row>
    <row r="61" spans="1:26" ht="13.5" customHeight="1">
      <c r="A61" s="638"/>
      <c r="B61" s="640"/>
      <c r="C61" s="548" t="s">
        <v>64</v>
      </c>
      <c r="D61" s="96" t="s">
        <v>56</v>
      </c>
      <c r="E61" s="626"/>
      <c r="F61" s="556"/>
      <c r="G61" s="540"/>
      <c r="H61" s="526" t="s">
        <v>65</v>
      </c>
      <c r="I61" s="615">
        <v>0.095</v>
      </c>
      <c r="J61" s="616"/>
      <c r="K61" s="617"/>
      <c r="L61" s="662">
        <v>200</v>
      </c>
      <c r="M61" s="615">
        <v>0.105</v>
      </c>
      <c r="N61" s="616"/>
      <c r="O61" s="619"/>
      <c r="P61" s="260"/>
      <c r="Q61" s="112" t="s">
        <v>150</v>
      </c>
      <c r="R61" s="67">
        <f t="shared" si="6"/>
        <v>0.095</v>
      </c>
      <c r="Y61" s="112" t="s">
        <v>150</v>
      </c>
      <c r="Z61" s="67">
        <f t="shared" si="7"/>
        <v>0.105</v>
      </c>
    </row>
    <row r="62" spans="1:30" ht="13.5" customHeight="1" thickBot="1">
      <c r="A62" s="638"/>
      <c r="B62" s="640"/>
      <c r="C62" s="556"/>
      <c r="D62" s="103" t="s">
        <v>58</v>
      </c>
      <c r="E62" s="626"/>
      <c r="F62" s="556"/>
      <c r="G62" s="540"/>
      <c r="H62" s="527"/>
      <c r="I62" s="664">
        <v>0.075</v>
      </c>
      <c r="J62" s="665"/>
      <c r="K62" s="666"/>
      <c r="L62" s="613"/>
      <c r="M62" s="664">
        <v>0.085</v>
      </c>
      <c r="N62" s="665"/>
      <c r="O62" s="667"/>
      <c r="P62" s="260"/>
      <c r="Q62" s="270"/>
      <c r="R62" s="264">
        <f t="shared" si="6"/>
        <v>0.075</v>
      </c>
      <c r="S62" s="287">
        <f>IF($S$2=30,R62,R61)</f>
        <v>0.075</v>
      </c>
      <c r="T62" s="287">
        <f>IF($T$1&lt;&gt;1,S62,S60)</f>
        <v>0.115</v>
      </c>
      <c r="U62" s="264">
        <f>T62</f>
        <v>0.115</v>
      </c>
      <c r="V62" s="264">
        <f>IF($V$1=2,U62,U58)</f>
        <v>0.135</v>
      </c>
      <c r="Y62" s="270"/>
      <c r="Z62" s="264">
        <f t="shared" si="7"/>
        <v>0.085</v>
      </c>
      <c r="AA62" s="287">
        <f>IF($S$2=30,Z62,Z61)</f>
        <v>0.085</v>
      </c>
      <c r="AB62" s="287">
        <f>IF($T$1&lt;&gt;1,AA62,AA60)</f>
        <v>0.125</v>
      </c>
      <c r="AC62" s="264">
        <f>AB62</f>
        <v>0.125</v>
      </c>
      <c r="AD62" s="264">
        <f>IF($V$1=2,AC62,AC58)</f>
        <v>0.145</v>
      </c>
    </row>
    <row r="63" spans="1:26" ht="13.5" customHeight="1">
      <c r="A63" s="653" t="s">
        <v>68</v>
      </c>
      <c r="B63" s="623" t="s">
        <v>55</v>
      </c>
      <c r="C63" s="555" t="s">
        <v>32</v>
      </c>
      <c r="D63" s="104" t="s">
        <v>56</v>
      </c>
      <c r="E63" s="668" t="s">
        <v>34</v>
      </c>
      <c r="F63" s="671" t="s">
        <v>35</v>
      </c>
      <c r="G63" s="634" t="s">
        <v>36</v>
      </c>
      <c r="H63" s="654" t="s">
        <v>69</v>
      </c>
      <c r="I63" s="656">
        <v>0.27</v>
      </c>
      <c r="J63" s="657"/>
      <c r="K63" s="658"/>
      <c r="L63" s="525">
        <v>6000</v>
      </c>
      <c r="M63" s="656">
        <f>I63+1%</f>
        <v>0.28</v>
      </c>
      <c r="N63" s="657"/>
      <c r="O63" s="661"/>
      <c r="P63" s="260"/>
      <c r="Q63" s="112" t="s">
        <v>145</v>
      </c>
      <c r="R63" s="67">
        <f t="shared" si="6"/>
        <v>0.27</v>
      </c>
      <c r="Y63" s="112" t="s">
        <v>145</v>
      </c>
      <c r="Z63" s="67">
        <f t="shared" si="7"/>
        <v>0.28</v>
      </c>
    </row>
    <row r="64" spans="1:29" ht="13.5" customHeight="1">
      <c r="A64" s="638"/>
      <c r="B64" s="624"/>
      <c r="C64" s="556"/>
      <c r="D64" s="105" t="s">
        <v>58</v>
      </c>
      <c r="E64" s="669"/>
      <c r="F64" s="672"/>
      <c r="G64" s="540"/>
      <c r="H64" s="641"/>
      <c r="I64" s="615">
        <v>0.24</v>
      </c>
      <c r="J64" s="616"/>
      <c r="K64" s="617"/>
      <c r="L64" s="646"/>
      <c r="M64" s="615">
        <f>I64+1%</f>
        <v>0.25</v>
      </c>
      <c r="N64" s="616"/>
      <c r="O64" s="619"/>
      <c r="P64" s="260"/>
      <c r="Q64" s="269"/>
      <c r="R64" s="262">
        <f t="shared" si="6"/>
        <v>0.24</v>
      </c>
      <c r="S64" s="285">
        <f>IF($S$2=30,R64,R63)</f>
        <v>0.24</v>
      </c>
      <c r="T64" s="262">
        <f>S64</f>
        <v>0.24</v>
      </c>
      <c r="U64" s="262">
        <f>T64</f>
        <v>0.24</v>
      </c>
      <c r="Y64" s="269"/>
      <c r="Z64" s="262">
        <f t="shared" si="7"/>
        <v>0.25</v>
      </c>
      <c r="AA64" s="285">
        <f>IF($S$2=30,Z64,Z63)</f>
        <v>0.25</v>
      </c>
      <c r="AB64" s="262">
        <f>AA64</f>
        <v>0.25</v>
      </c>
      <c r="AC64" s="262">
        <f>AB64</f>
        <v>0.25</v>
      </c>
    </row>
    <row r="65" spans="1:26" ht="13.5" customHeight="1">
      <c r="A65" s="638"/>
      <c r="B65" s="628" t="s">
        <v>42</v>
      </c>
      <c r="C65" s="556"/>
      <c r="D65" s="105" t="s">
        <v>56</v>
      </c>
      <c r="E65" s="669"/>
      <c r="F65" s="672"/>
      <c r="G65" s="540"/>
      <c r="H65" s="641"/>
      <c r="I65" s="615">
        <f>I63-2%</f>
        <v>0.25</v>
      </c>
      <c r="J65" s="616"/>
      <c r="K65" s="617"/>
      <c r="L65" s="646"/>
      <c r="M65" s="615">
        <f>I65+1%</f>
        <v>0.26</v>
      </c>
      <c r="N65" s="616"/>
      <c r="O65" s="619"/>
      <c r="P65" s="260"/>
      <c r="Q65" s="112" t="s">
        <v>146</v>
      </c>
      <c r="R65" s="67">
        <f t="shared" si="6"/>
        <v>0.25</v>
      </c>
      <c r="Y65" s="112" t="s">
        <v>146</v>
      </c>
      <c r="Z65" s="67">
        <f t="shared" si="7"/>
        <v>0.26</v>
      </c>
    </row>
    <row r="66" spans="1:31" ht="13.5" customHeight="1" thickBot="1">
      <c r="A66" s="639"/>
      <c r="B66" s="629"/>
      <c r="C66" s="549"/>
      <c r="D66" s="106" t="s">
        <v>58</v>
      </c>
      <c r="E66" s="670"/>
      <c r="F66" s="673"/>
      <c r="G66" s="533"/>
      <c r="H66" s="642"/>
      <c r="I66" s="649">
        <f>I64-2%</f>
        <v>0.22</v>
      </c>
      <c r="J66" s="650"/>
      <c r="K66" s="651"/>
      <c r="L66" s="677"/>
      <c r="M66" s="649">
        <f>I66+1%</f>
        <v>0.23</v>
      </c>
      <c r="N66" s="650"/>
      <c r="O66" s="652"/>
      <c r="P66" s="260"/>
      <c r="Q66" s="270"/>
      <c r="R66" s="264">
        <f t="shared" si="6"/>
        <v>0.22</v>
      </c>
      <c r="S66" s="287">
        <f>IF($S$2=30,R66,R65)</f>
        <v>0.22</v>
      </c>
      <c r="T66" s="264">
        <f>S66</f>
        <v>0.22</v>
      </c>
      <c r="U66" s="264">
        <f>T66</f>
        <v>0.22</v>
      </c>
      <c r="V66" s="264">
        <f>IF($V$1=2,U66,U64)</f>
        <v>0.24</v>
      </c>
      <c r="W66" s="292">
        <f>IF(AND($W$1=1,$W$2=1,$W$3=1),V38,IF(AND($W$1=2,$W$2=1,$W$3=1),V14,IF(AND($W$1=1,$W$2=2,$W$3=1),V54,IF(AND($W$1=2,$W$2=2,$W$3=1),V42,IF(AND($W$1=1,$W$2=2,$W$3=4),V62,IF(AND($W$1=2,$W$2=2,$W$3=4),V46,IF($W$1=3,V66,0)))))))</f>
        <v>0.15</v>
      </c>
      <c r="Y66" s="270"/>
      <c r="Z66" s="264">
        <f t="shared" si="7"/>
        <v>0.23</v>
      </c>
      <c r="AA66" s="287">
        <f>IF($S$2=30,Z66,Z65)</f>
        <v>0.23</v>
      </c>
      <c r="AB66" s="264">
        <f>AA66</f>
        <v>0.23</v>
      </c>
      <c r="AC66" s="264">
        <f>AB66</f>
        <v>0.23</v>
      </c>
      <c r="AD66" s="264">
        <f>IF($V$1=2,AC66,AC64)</f>
        <v>0.25</v>
      </c>
      <c r="AE66" s="292">
        <f>IF(AND($W$1=1,$W$2=1,$W$3=1),AD38,IF(AND($W$1=2,$W$2=1,$W$3=1),AD14,IF(AND($W$1=1,$W$2=2,$W$3=1),AD54,IF(AND($W$1=2,$W$2=2,$W$3=1),AD42,IF(AND($W$1=1,$W$2=2,$W$3=4),AD62,IF(AND($W$1=2,$W$2=2,$W$3=4),AD46,IF($W$1=3,AD66,0)))))))</f>
        <v>0.16</v>
      </c>
    </row>
    <row r="67" ht="6.75" customHeight="1"/>
    <row r="68" ht="2.25" customHeight="1"/>
    <row r="69" spans="1:2" ht="13.5" customHeight="1">
      <c r="A69" s="107" t="s">
        <v>70</v>
      </c>
      <c r="B69" s="108"/>
    </row>
    <row r="70" spans="1:2" ht="15.75" customHeight="1">
      <c r="A70" s="107" t="s">
        <v>71</v>
      </c>
      <c r="B70" s="108"/>
    </row>
    <row r="71" spans="1:16" ht="36" customHeight="1">
      <c r="A71" s="674" t="s">
        <v>72</v>
      </c>
      <c r="B71" s="674"/>
      <c r="C71" s="674"/>
      <c r="D71" s="674"/>
      <c r="E71" s="674"/>
      <c r="F71" s="674"/>
      <c r="G71" s="674"/>
      <c r="H71" s="674"/>
      <c r="I71" s="674"/>
      <c r="J71" s="674"/>
      <c r="K71" s="674"/>
      <c r="L71" s="674"/>
      <c r="M71" s="674"/>
      <c r="N71" s="674"/>
      <c r="O71" s="674"/>
      <c r="P71" s="109"/>
    </row>
    <row r="72" spans="1:2" ht="6" customHeight="1">
      <c r="A72" s="110"/>
      <c r="B72" s="108"/>
    </row>
    <row r="73" spans="1:8" ht="68.25" customHeight="1">
      <c r="A73" s="675" t="s">
        <v>73</v>
      </c>
      <c r="B73" s="676"/>
      <c r="C73" s="676"/>
      <c r="D73" s="676"/>
      <c r="E73" s="676"/>
      <c r="F73" s="676"/>
      <c r="G73" s="676"/>
      <c r="H73" s="113"/>
    </row>
    <row r="74" spans="1:7" ht="12.75">
      <c r="A74" s="114" t="s">
        <v>74</v>
      </c>
      <c r="B74" s="108"/>
      <c r="C74" s="112"/>
      <c r="D74" s="112"/>
      <c r="E74" s="112"/>
      <c r="F74" s="112"/>
      <c r="G74" s="112"/>
    </row>
    <row r="75" spans="1:2" ht="12.75">
      <c r="A75" s="110" t="s">
        <v>75</v>
      </c>
      <c r="B75" s="108"/>
    </row>
  </sheetData>
  <sheetProtection/>
  <mergeCells count="177">
    <mergeCell ref="A71:O71"/>
    <mergeCell ref="A73:G73"/>
    <mergeCell ref="L63:L66"/>
    <mergeCell ref="M63:O63"/>
    <mergeCell ref="I64:K64"/>
    <mergeCell ref="M64:O64"/>
    <mergeCell ref="I65:K65"/>
    <mergeCell ref="M65:O65"/>
    <mergeCell ref="I66:K66"/>
    <mergeCell ref="M66:O66"/>
    <mergeCell ref="F63:F66"/>
    <mergeCell ref="G63:G66"/>
    <mergeCell ref="H63:H66"/>
    <mergeCell ref="I63:K63"/>
    <mergeCell ref="A63:A66"/>
    <mergeCell ref="B63:B64"/>
    <mergeCell ref="C63:C66"/>
    <mergeCell ref="E63:E66"/>
    <mergeCell ref="B65:B66"/>
    <mergeCell ref="L61:L62"/>
    <mergeCell ref="M61:O61"/>
    <mergeCell ref="I62:K62"/>
    <mergeCell ref="M62:O62"/>
    <mergeCell ref="L59:L60"/>
    <mergeCell ref="M59:O59"/>
    <mergeCell ref="I60:K60"/>
    <mergeCell ref="M60:O60"/>
    <mergeCell ref="L57:L58"/>
    <mergeCell ref="M57:O57"/>
    <mergeCell ref="I58:K58"/>
    <mergeCell ref="M58:O58"/>
    <mergeCell ref="L55:L56"/>
    <mergeCell ref="M55:O55"/>
    <mergeCell ref="I56:K56"/>
    <mergeCell ref="M56:O56"/>
    <mergeCell ref="F55:F62"/>
    <mergeCell ref="G55:G62"/>
    <mergeCell ref="H55:H56"/>
    <mergeCell ref="I55:K55"/>
    <mergeCell ref="H57:H58"/>
    <mergeCell ref="I57:K57"/>
    <mergeCell ref="H59:H60"/>
    <mergeCell ref="I59:K59"/>
    <mergeCell ref="H61:H62"/>
    <mergeCell ref="I61:K61"/>
    <mergeCell ref="A55:A62"/>
    <mergeCell ref="B55:B58"/>
    <mergeCell ref="C55:C56"/>
    <mergeCell ref="E55:E62"/>
    <mergeCell ref="C57:C58"/>
    <mergeCell ref="B59:B62"/>
    <mergeCell ref="C59:C60"/>
    <mergeCell ref="C61:C62"/>
    <mergeCell ref="L53:L54"/>
    <mergeCell ref="M53:O53"/>
    <mergeCell ref="I54:K54"/>
    <mergeCell ref="M54:O54"/>
    <mergeCell ref="L51:L52"/>
    <mergeCell ref="M51:O51"/>
    <mergeCell ref="I52:K52"/>
    <mergeCell ref="M52:O52"/>
    <mergeCell ref="L49:L50"/>
    <mergeCell ref="M49:O49"/>
    <mergeCell ref="I50:K50"/>
    <mergeCell ref="M50:O50"/>
    <mergeCell ref="L47:L48"/>
    <mergeCell ref="M47:O47"/>
    <mergeCell ref="I48:K48"/>
    <mergeCell ref="M48:O48"/>
    <mergeCell ref="F47:F54"/>
    <mergeCell ref="G47:G54"/>
    <mergeCell ref="H47:H48"/>
    <mergeCell ref="I47:K47"/>
    <mergeCell ref="H49:H50"/>
    <mergeCell ref="I49:K49"/>
    <mergeCell ref="H51:H52"/>
    <mergeCell ref="I51:K51"/>
    <mergeCell ref="H53:H54"/>
    <mergeCell ref="I53:K53"/>
    <mergeCell ref="A47:A54"/>
    <mergeCell ref="B47:B50"/>
    <mergeCell ref="C47:C48"/>
    <mergeCell ref="E47:E54"/>
    <mergeCell ref="C49:C50"/>
    <mergeCell ref="B51:B54"/>
    <mergeCell ref="C51:C52"/>
    <mergeCell ref="C53:C54"/>
    <mergeCell ref="L45:L46"/>
    <mergeCell ref="M45:O45"/>
    <mergeCell ref="I46:K46"/>
    <mergeCell ref="M46:O46"/>
    <mergeCell ref="L43:L44"/>
    <mergeCell ref="M43:O43"/>
    <mergeCell ref="I44:K44"/>
    <mergeCell ref="M44:O44"/>
    <mergeCell ref="F43:F46"/>
    <mergeCell ref="G43:G46"/>
    <mergeCell ref="H43:H46"/>
    <mergeCell ref="I43:K43"/>
    <mergeCell ref="I45:K45"/>
    <mergeCell ref="A43:A46"/>
    <mergeCell ref="B43:B44"/>
    <mergeCell ref="C43:C46"/>
    <mergeCell ref="E43:E46"/>
    <mergeCell ref="B45:B46"/>
    <mergeCell ref="M41:O41"/>
    <mergeCell ref="I42:K42"/>
    <mergeCell ref="M42:O42"/>
    <mergeCell ref="G39:G42"/>
    <mergeCell ref="H39:H42"/>
    <mergeCell ref="A15:A38"/>
    <mergeCell ref="B15:B30"/>
    <mergeCell ref="M39:O39"/>
    <mergeCell ref="I40:K40"/>
    <mergeCell ref="M40:O40"/>
    <mergeCell ref="A39:A42"/>
    <mergeCell ref="B39:B40"/>
    <mergeCell ref="C39:C42"/>
    <mergeCell ref="E39:E42"/>
    <mergeCell ref="B41:B42"/>
    <mergeCell ref="L35:L38"/>
    <mergeCell ref="E36:E38"/>
    <mergeCell ref="I39:K39"/>
    <mergeCell ref="L39:L42"/>
    <mergeCell ref="F36:F38"/>
    <mergeCell ref="F39:F42"/>
    <mergeCell ref="I41:K41"/>
    <mergeCell ref="H27:H30"/>
    <mergeCell ref="L27:L30"/>
    <mergeCell ref="B31:B38"/>
    <mergeCell ref="C31:C34"/>
    <mergeCell ref="H31:H34"/>
    <mergeCell ref="L31:L34"/>
    <mergeCell ref="E32:E34"/>
    <mergeCell ref="F32:F34"/>
    <mergeCell ref="C35:C38"/>
    <mergeCell ref="H35:H38"/>
    <mergeCell ref="C15:C18"/>
    <mergeCell ref="E15:E22"/>
    <mergeCell ref="C19:C22"/>
    <mergeCell ref="C23:C26"/>
    <mergeCell ref="E23:E30"/>
    <mergeCell ref="C27:C30"/>
    <mergeCell ref="L11:L14"/>
    <mergeCell ref="G7:G14"/>
    <mergeCell ref="H7:H14"/>
    <mergeCell ref="F15:F22"/>
    <mergeCell ref="G15:G38"/>
    <mergeCell ref="H15:H18"/>
    <mergeCell ref="L19:L22"/>
    <mergeCell ref="F23:F30"/>
    <mergeCell ref="H23:H26"/>
    <mergeCell ref="L23:L26"/>
    <mergeCell ref="L15:L18"/>
    <mergeCell ref="H19:H22"/>
    <mergeCell ref="A7:A14"/>
    <mergeCell ref="B7:B10"/>
    <mergeCell ref="C7:C14"/>
    <mergeCell ref="E7:E14"/>
    <mergeCell ref="B11:B14"/>
    <mergeCell ref="F7:F10"/>
    <mergeCell ref="L7:L10"/>
    <mergeCell ref="F11:F14"/>
    <mergeCell ref="M1:O1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M4:O4"/>
    <mergeCell ref="I5:K5"/>
    <mergeCell ref="L5:L6"/>
    <mergeCell ref="M5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AE7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4.25390625" style="68" customWidth="1"/>
    <col min="2" max="2" width="11.875" style="69" customWidth="1"/>
    <col min="3" max="3" width="10.125" style="70" customWidth="1"/>
    <col min="4" max="4" width="13.625" style="70" customWidth="1"/>
    <col min="5" max="5" width="15.125" style="70" customWidth="1"/>
    <col min="6" max="6" width="45.875" style="70" customWidth="1"/>
    <col min="7" max="7" width="9.25390625" style="70" customWidth="1"/>
    <col min="8" max="8" width="12.25390625" style="71" customWidth="1"/>
    <col min="9" max="10" width="14.625" style="70" customWidth="1"/>
    <col min="11" max="11" width="14.625" style="67" customWidth="1"/>
    <col min="12" max="12" width="14.375" style="70" customWidth="1"/>
    <col min="13" max="15" width="18.625" style="70" customWidth="1"/>
    <col min="16" max="16" width="4.00390625" style="70" customWidth="1"/>
    <col min="17" max="21" width="9.00390625" style="70" customWidth="1"/>
    <col min="22" max="22" width="9.875" style="70" customWidth="1"/>
    <col min="23" max="23" width="9.00390625" style="70" customWidth="1"/>
    <col min="24" max="24" width="8.00390625" style="70" customWidth="1"/>
    <col min="25" max="29" width="9.00390625" style="70" customWidth="1"/>
    <col min="30" max="30" width="10.375" style="70" customWidth="1"/>
    <col min="31" max="16384" width="9.00390625" style="70" customWidth="1"/>
  </cols>
  <sheetData>
    <row r="1" spans="13:24" ht="18.75" customHeight="1">
      <c r="M1" s="609"/>
      <c r="N1" s="609"/>
      <c r="O1" s="609"/>
      <c r="R1" s="70">
        <f>РАСЧЕТ!D29</f>
        <v>36</v>
      </c>
      <c r="S1" s="574">
        <f>IF(РАСЧЕТ!F36&lt;10,0,IF(AND(РАСЧЕТ!F36&gt;=10,РАСЧЕТ!F36&lt;20),10,IF(AND(РАСЧЕТ!F36&gt;=20,РАСЧЕТ!F36&lt;30),20,IF(AND(РАСЧЕТ!F36&gt;=30,РАСЧЕТ!F36&lt;50),30,50))))</f>
        <v>10</v>
      </c>
      <c r="T1" s="70">
        <f>РАСЧЕТ!Z2</f>
        <v>1</v>
      </c>
      <c r="U1" s="70" t="str">
        <f>РАСЧЕТ!D27</f>
        <v>да</v>
      </c>
      <c r="V1" s="70">
        <f>РАСЧЕТ!AW2</f>
        <v>1</v>
      </c>
      <c r="W1" s="70">
        <f>РАСЧЕТ!AM2</f>
        <v>1</v>
      </c>
      <c r="X1" s="110" t="str">
        <f>IF(W1=1,"АВТОСТАТУС",IF(W1=2,"АВТОЭКСПРЕСС-КРЕДИТ","АЭК БЕЗ СТРАХОВКИ"))</f>
        <v>АВТОСТАТУС</v>
      </c>
    </row>
    <row r="2" spans="13:24" ht="15.75" customHeight="1">
      <c r="M2" s="73"/>
      <c r="N2" s="73"/>
      <c r="O2" s="73"/>
      <c r="S2" s="70">
        <f>IF(AND(РАСЧЕТ!F36&gt;=20,РАСЧЕТ!F36&lt;30),20,30)</f>
        <v>30</v>
      </c>
      <c r="W2" s="70">
        <f>РАСЧЕТ!AH2</f>
        <v>1</v>
      </c>
      <c r="X2" s="110" t="str">
        <f>IF(W2=2,"ПОДЕРЖАННЫЕ","НОВЫЕ")</f>
        <v>НОВЫЕ</v>
      </c>
    </row>
    <row r="3" spans="1:24" s="77" customFormat="1" ht="15.75" customHeight="1" thickBot="1">
      <c r="A3" s="74" t="s">
        <v>76</v>
      </c>
      <c r="B3" s="75"/>
      <c r="C3" s="75"/>
      <c r="D3" s="75"/>
      <c r="E3" s="75"/>
      <c r="F3" s="75"/>
      <c r="G3" s="75"/>
      <c r="H3" s="75"/>
      <c r="I3" s="76"/>
      <c r="J3" s="76"/>
      <c r="K3" s="76"/>
      <c r="L3" s="76"/>
      <c r="M3" s="76"/>
      <c r="N3" s="76"/>
      <c r="O3" s="76"/>
      <c r="W3" s="70">
        <f>РАСЧЕТ!AR2</f>
        <v>1</v>
      </c>
      <c r="X3" s="282" t="str">
        <f>LOOKUP(W3,РАСЧЕТ!AN2:AN6,РАСЧЕТ!AO2:AO6)</f>
        <v>БАЗОВАЯ</v>
      </c>
    </row>
    <row r="4" spans="1:15" s="77" customFormat="1" ht="21.75" customHeight="1">
      <c r="A4" s="610" t="s">
        <v>20</v>
      </c>
      <c r="B4" s="577" t="s">
        <v>21</v>
      </c>
      <c r="C4" s="577" t="s">
        <v>13</v>
      </c>
      <c r="D4" s="577" t="s">
        <v>22</v>
      </c>
      <c r="E4" s="577" t="s">
        <v>23</v>
      </c>
      <c r="F4" s="577" t="s">
        <v>24</v>
      </c>
      <c r="G4" s="577" t="s">
        <v>25</v>
      </c>
      <c r="H4" s="580" t="s">
        <v>26</v>
      </c>
      <c r="I4" s="600" t="s">
        <v>260</v>
      </c>
      <c r="J4" s="601"/>
      <c r="K4" s="601"/>
      <c r="L4" s="602"/>
      <c r="M4" s="600" t="s">
        <v>261</v>
      </c>
      <c r="N4" s="601"/>
      <c r="O4" s="602"/>
    </row>
    <row r="5" spans="1:25" s="77" customFormat="1" ht="18.75" customHeight="1">
      <c r="A5" s="611"/>
      <c r="B5" s="578"/>
      <c r="C5" s="578"/>
      <c r="D5" s="578"/>
      <c r="E5" s="578"/>
      <c r="F5" s="578"/>
      <c r="G5" s="578"/>
      <c r="H5" s="560"/>
      <c r="I5" s="603" t="s">
        <v>27</v>
      </c>
      <c r="J5" s="604"/>
      <c r="K5" s="605"/>
      <c r="L5" s="606" t="s">
        <v>28</v>
      </c>
      <c r="M5" s="603" t="s">
        <v>27</v>
      </c>
      <c r="N5" s="604"/>
      <c r="O5" s="608"/>
      <c r="Q5" s="77" t="s">
        <v>159</v>
      </c>
      <c r="Y5" s="77" t="s">
        <v>160</v>
      </c>
    </row>
    <row r="6" spans="1:31" s="77" customFormat="1" ht="27.75" thickBot="1">
      <c r="A6" s="612"/>
      <c r="B6" s="579"/>
      <c r="C6" s="579"/>
      <c r="D6" s="579"/>
      <c r="E6" s="579"/>
      <c r="F6" s="579"/>
      <c r="G6" s="579"/>
      <c r="H6" s="607"/>
      <c r="I6" s="78" t="s">
        <v>255</v>
      </c>
      <c r="J6" s="567" t="s">
        <v>256</v>
      </c>
      <c r="K6" s="79" t="s">
        <v>29</v>
      </c>
      <c r="L6" s="607"/>
      <c r="M6" s="78" t="s">
        <v>234</v>
      </c>
      <c r="N6" s="567" t="s">
        <v>256</v>
      </c>
      <c r="O6" s="80" t="s">
        <v>29</v>
      </c>
      <c r="Q6" s="280"/>
      <c r="R6" s="281" t="s">
        <v>7</v>
      </c>
      <c r="S6" s="281" t="s">
        <v>154</v>
      </c>
      <c r="T6" s="281" t="s">
        <v>158</v>
      </c>
      <c r="U6" s="281" t="s">
        <v>155</v>
      </c>
      <c r="V6" s="281" t="s">
        <v>156</v>
      </c>
      <c r="W6" s="281" t="s">
        <v>157</v>
      </c>
      <c r="Y6" s="280"/>
      <c r="Z6" s="281" t="s">
        <v>7</v>
      </c>
      <c r="AA6" s="281" t="s">
        <v>154</v>
      </c>
      <c r="AB6" s="281" t="s">
        <v>158</v>
      </c>
      <c r="AC6" s="281" t="s">
        <v>155</v>
      </c>
      <c r="AD6" s="281" t="s">
        <v>156</v>
      </c>
      <c r="AE6" s="281" t="s">
        <v>157</v>
      </c>
    </row>
    <row r="7" spans="1:31" s="116" customFormat="1" ht="13.5" customHeight="1">
      <c r="A7" s="552" t="s">
        <v>77</v>
      </c>
      <c r="B7" s="555" t="s">
        <v>31</v>
      </c>
      <c r="C7" s="545" t="s">
        <v>32</v>
      </c>
      <c r="D7" s="81" t="s">
        <v>33</v>
      </c>
      <c r="E7" s="545" t="s">
        <v>34</v>
      </c>
      <c r="F7" s="545" t="s">
        <v>35</v>
      </c>
      <c r="G7" s="544" t="s">
        <v>36</v>
      </c>
      <c r="H7" s="537" t="s">
        <v>37</v>
      </c>
      <c r="I7" s="157">
        <v>0.175</v>
      </c>
      <c r="J7" s="564">
        <v>0.18</v>
      </c>
      <c r="K7" s="158">
        <v>0.185</v>
      </c>
      <c r="L7" s="678">
        <v>6000</v>
      </c>
      <c r="M7" s="591">
        <f aca="true" t="shared" si="0" ref="M7:O8">I7+1%</f>
        <v>0.185</v>
      </c>
      <c r="N7" s="592">
        <f t="shared" si="0"/>
        <v>0.19</v>
      </c>
      <c r="O7" s="593">
        <f t="shared" si="0"/>
        <v>0.195</v>
      </c>
      <c r="P7" s="115"/>
      <c r="Q7" s="82" t="s">
        <v>145</v>
      </c>
      <c r="R7" s="283">
        <f>IF($R$1&lt;=12,I7,IF(AND($R$1&gt;12,$R$1&lt;=36),J7,K7))</f>
        <v>0.18</v>
      </c>
      <c r="S7" s="283"/>
      <c r="T7" s="283"/>
      <c r="U7" s="283"/>
      <c r="V7" s="284"/>
      <c r="W7" s="83"/>
      <c r="X7" s="83"/>
      <c r="Y7" s="82" t="s">
        <v>145</v>
      </c>
      <c r="Z7" s="283">
        <f>IF($R$1&lt;=12,M7,IF(AND($R$1&gt;12,$R$1&lt;=36),N7,O7))</f>
        <v>0.19</v>
      </c>
      <c r="AA7" s="283"/>
      <c r="AB7" s="283"/>
      <c r="AC7" s="283"/>
      <c r="AD7" s="284"/>
      <c r="AE7" s="83"/>
    </row>
    <row r="8" spans="1:31" s="116" customFormat="1" ht="13.5" customHeight="1">
      <c r="A8" s="553"/>
      <c r="B8" s="556"/>
      <c r="C8" s="546"/>
      <c r="D8" s="84" t="s">
        <v>39</v>
      </c>
      <c r="E8" s="546"/>
      <c r="F8" s="546"/>
      <c r="G8" s="535"/>
      <c r="H8" s="538"/>
      <c r="I8" s="160">
        <v>0.16499999999999998</v>
      </c>
      <c r="J8" s="565">
        <v>0.16999999999999998</v>
      </c>
      <c r="K8" s="141">
        <v>0.175</v>
      </c>
      <c r="L8" s="679"/>
      <c r="M8" s="594">
        <f t="shared" si="0"/>
        <v>0.175</v>
      </c>
      <c r="N8" s="595">
        <f t="shared" si="0"/>
        <v>0.18</v>
      </c>
      <c r="O8" s="584">
        <f t="shared" si="0"/>
        <v>0.185</v>
      </c>
      <c r="P8" s="115"/>
      <c r="Q8" s="82"/>
      <c r="R8" s="283">
        <f aca="true" t="shared" si="1" ref="R8:R38">IF($R$1&lt;=12,I8,IF(AND($R$1&gt;12,$R$1&lt;=36),J8,K8))</f>
        <v>0.16999999999999998</v>
      </c>
      <c r="S8" s="283"/>
      <c r="T8" s="283"/>
      <c r="U8" s="283"/>
      <c r="V8" s="284"/>
      <c r="W8" s="83"/>
      <c r="X8" s="83"/>
      <c r="Y8" s="82"/>
      <c r="Z8" s="283">
        <f aca="true" t="shared" si="2" ref="Z8:Z38">IF($R$1&lt;=12,M8,IF(AND($R$1&gt;12,$R$1&lt;=36),N8,O8))</f>
        <v>0.18</v>
      </c>
      <c r="AA8" s="283"/>
      <c r="AB8" s="283"/>
      <c r="AC8" s="283"/>
      <c r="AD8" s="284"/>
      <c r="AE8" s="83"/>
    </row>
    <row r="9" spans="1:31" s="116" customFormat="1" ht="13.5" customHeight="1">
      <c r="A9" s="553"/>
      <c r="B9" s="556"/>
      <c r="C9" s="546"/>
      <c r="D9" s="84" t="s">
        <v>40</v>
      </c>
      <c r="E9" s="546"/>
      <c r="F9" s="546"/>
      <c r="G9" s="535"/>
      <c r="H9" s="538"/>
      <c r="I9" s="160">
        <v>0.15500000000000003</v>
      </c>
      <c r="J9" s="565">
        <v>0.15500000000000003</v>
      </c>
      <c r="K9" s="141">
        <v>0.16499999999999998</v>
      </c>
      <c r="L9" s="679"/>
      <c r="M9" s="594">
        <f aca="true" t="shared" si="3" ref="M9:M38">I9+1%</f>
        <v>0.16500000000000004</v>
      </c>
      <c r="N9" s="595">
        <f aca="true" t="shared" si="4" ref="N9:N38">J9+1%</f>
        <v>0.16500000000000004</v>
      </c>
      <c r="O9" s="584">
        <f aca="true" t="shared" si="5" ref="O9:O38">K9+1%</f>
        <v>0.175</v>
      </c>
      <c r="P9" s="115"/>
      <c r="Q9" s="82"/>
      <c r="R9" s="283">
        <f t="shared" si="1"/>
        <v>0.15500000000000003</v>
      </c>
      <c r="S9" s="283"/>
      <c r="T9" s="283"/>
      <c r="U9" s="283"/>
      <c r="V9" s="284"/>
      <c r="W9" s="83"/>
      <c r="X9" s="83"/>
      <c r="Y9" s="82"/>
      <c r="Z9" s="283">
        <f t="shared" si="2"/>
        <v>0.16500000000000004</v>
      </c>
      <c r="AA9" s="283"/>
      <c r="AB9" s="283"/>
      <c r="AC9" s="283"/>
      <c r="AD9" s="284"/>
      <c r="AE9" s="83"/>
    </row>
    <row r="10" spans="1:31" s="116" customFormat="1" ht="13.5" customHeight="1">
      <c r="A10" s="553"/>
      <c r="B10" s="557"/>
      <c r="C10" s="546"/>
      <c r="D10" s="88" t="s">
        <v>41</v>
      </c>
      <c r="E10" s="546"/>
      <c r="F10" s="550"/>
      <c r="G10" s="535"/>
      <c r="H10" s="538"/>
      <c r="I10" s="160">
        <v>0.14500000000000002</v>
      </c>
      <c r="J10" s="565">
        <v>0.14500000000000002</v>
      </c>
      <c r="K10" s="141">
        <v>0.15500000000000003</v>
      </c>
      <c r="L10" s="680"/>
      <c r="M10" s="594">
        <f t="shared" si="3"/>
        <v>0.15500000000000003</v>
      </c>
      <c r="N10" s="595">
        <f t="shared" si="4"/>
        <v>0.15500000000000003</v>
      </c>
      <c r="O10" s="584">
        <f t="shared" si="5"/>
        <v>0.16500000000000004</v>
      </c>
      <c r="P10" s="115"/>
      <c r="Q10" s="257"/>
      <c r="R10" s="285">
        <f t="shared" si="1"/>
        <v>0.14500000000000002</v>
      </c>
      <c r="S10" s="285">
        <f>IF($S$1=0,R7,IF(OR($S$1=10,$S$1=20),R8,IF($S$1=30,R9,R10)))</f>
        <v>0.16999999999999998</v>
      </c>
      <c r="T10" s="285">
        <f>S10</f>
        <v>0.16999999999999998</v>
      </c>
      <c r="U10" s="285">
        <f>T10</f>
        <v>0.16999999999999998</v>
      </c>
      <c r="V10" s="286"/>
      <c r="W10" s="278"/>
      <c r="X10" s="83"/>
      <c r="Y10" s="257"/>
      <c r="Z10" s="285">
        <f t="shared" si="2"/>
        <v>0.15500000000000003</v>
      </c>
      <c r="AA10" s="285">
        <f>IF($S$1=0,Z7,IF(OR($S$1=10,$S$1=20),Z8,IF($S$1=30,Z9,Z10)))</f>
        <v>0.18</v>
      </c>
      <c r="AB10" s="285">
        <f>AA10</f>
        <v>0.18</v>
      </c>
      <c r="AC10" s="285">
        <f>AB10</f>
        <v>0.18</v>
      </c>
      <c r="AD10" s="286"/>
      <c r="AE10" s="278"/>
    </row>
    <row r="11" spans="1:31" s="116" customFormat="1" ht="13.5" customHeight="1">
      <c r="A11" s="553"/>
      <c r="B11" s="548" t="s">
        <v>42</v>
      </c>
      <c r="C11" s="546"/>
      <c r="D11" s="84" t="s">
        <v>33</v>
      </c>
      <c r="E11" s="546"/>
      <c r="F11" s="541" t="s">
        <v>35</v>
      </c>
      <c r="G11" s="535"/>
      <c r="H11" s="538"/>
      <c r="I11" s="160">
        <v>0.15500000000000003</v>
      </c>
      <c r="J11" s="565">
        <v>0.15999999999999998</v>
      </c>
      <c r="K11" s="141">
        <v>0.16499999999999998</v>
      </c>
      <c r="L11" s="681">
        <v>6000</v>
      </c>
      <c r="M11" s="594">
        <f t="shared" si="3"/>
        <v>0.16500000000000004</v>
      </c>
      <c r="N11" s="595">
        <f t="shared" si="4"/>
        <v>0.16999999999999998</v>
      </c>
      <c r="O11" s="584">
        <f t="shared" si="5"/>
        <v>0.175</v>
      </c>
      <c r="P11" s="115"/>
      <c r="Q11" s="82" t="s">
        <v>146</v>
      </c>
      <c r="R11" s="283">
        <f t="shared" si="1"/>
        <v>0.15999999999999998</v>
      </c>
      <c r="S11" s="283"/>
      <c r="T11" s="283"/>
      <c r="U11" s="283"/>
      <c r="V11" s="284"/>
      <c r="W11" s="278"/>
      <c r="X11" s="83"/>
      <c r="Y11" s="82" t="s">
        <v>146</v>
      </c>
      <c r="Z11" s="283">
        <f t="shared" si="2"/>
        <v>0.16999999999999998</v>
      </c>
      <c r="AA11" s="283"/>
      <c r="AB11" s="283"/>
      <c r="AC11" s="283"/>
      <c r="AD11" s="284"/>
      <c r="AE11" s="278"/>
    </row>
    <row r="12" spans="1:31" s="116" customFormat="1" ht="13.5" customHeight="1">
      <c r="A12" s="553"/>
      <c r="B12" s="556"/>
      <c r="C12" s="546"/>
      <c r="D12" s="84" t="s">
        <v>39</v>
      </c>
      <c r="E12" s="546"/>
      <c r="F12" s="546"/>
      <c r="G12" s="535"/>
      <c r="H12" s="538"/>
      <c r="I12" s="160">
        <v>0.14500000000000002</v>
      </c>
      <c r="J12" s="565">
        <v>0.15000000000000002</v>
      </c>
      <c r="K12" s="141">
        <v>0.15500000000000003</v>
      </c>
      <c r="L12" s="679"/>
      <c r="M12" s="594">
        <f t="shared" si="3"/>
        <v>0.15500000000000003</v>
      </c>
      <c r="N12" s="595">
        <f t="shared" si="4"/>
        <v>0.16000000000000003</v>
      </c>
      <c r="O12" s="584">
        <f t="shared" si="5"/>
        <v>0.16500000000000004</v>
      </c>
      <c r="P12" s="115"/>
      <c r="Q12" s="82"/>
      <c r="R12" s="283">
        <f t="shared" si="1"/>
        <v>0.15000000000000002</v>
      </c>
      <c r="S12" s="283"/>
      <c r="T12" s="283"/>
      <c r="U12" s="283"/>
      <c r="V12" s="284"/>
      <c r="W12" s="278"/>
      <c r="X12" s="83"/>
      <c r="Y12" s="82"/>
      <c r="Z12" s="283">
        <f t="shared" si="2"/>
        <v>0.16000000000000003</v>
      </c>
      <c r="AA12" s="283"/>
      <c r="AB12" s="283"/>
      <c r="AC12" s="283"/>
      <c r="AD12" s="284"/>
      <c r="AE12" s="278"/>
    </row>
    <row r="13" spans="1:31" s="116" customFormat="1" ht="13.5" customHeight="1">
      <c r="A13" s="553"/>
      <c r="B13" s="556"/>
      <c r="C13" s="546"/>
      <c r="D13" s="84" t="s">
        <v>40</v>
      </c>
      <c r="E13" s="546"/>
      <c r="F13" s="546"/>
      <c r="G13" s="535"/>
      <c r="H13" s="538"/>
      <c r="I13" s="160">
        <v>0.135</v>
      </c>
      <c r="J13" s="565">
        <v>0.135</v>
      </c>
      <c r="K13" s="141">
        <v>0.14500000000000002</v>
      </c>
      <c r="L13" s="679"/>
      <c r="M13" s="594">
        <f t="shared" si="3"/>
        <v>0.14500000000000002</v>
      </c>
      <c r="N13" s="595">
        <f t="shared" si="4"/>
        <v>0.14500000000000002</v>
      </c>
      <c r="O13" s="584">
        <f t="shared" si="5"/>
        <v>0.15500000000000003</v>
      </c>
      <c r="P13" s="115"/>
      <c r="Q13" s="82"/>
      <c r="R13" s="283">
        <f t="shared" si="1"/>
        <v>0.135</v>
      </c>
      <c r="S13" s="283"/>
      <c r="T13" s="283"/>
      <c r="U13" s="283"/>
      <c r="V13" s="284"/>
      <c r="W13" s="278"/>
      <c r="X13" s="83"/>
      <c r="Y13" s="82"/>
      <c r="Z13" s="283">
        <f t="shared" si="2"/>
        <v>0.14500000000000002</v>
      </c>
      <c r="AA13" s="283"/>
      <c r="AB13" s="283"/>
      <c r="AC13" s="283"/>
      <c r="AD13" s="284"/>
      <c r="AE13" s="278"/>
    </row>
    <row r="14" spans="1:31" s="116" customFormat="1" ht="13.5" customHeight="1" thickBot="1">
      <c r="A14" s="554"/>
      <c r="B14" s="549"/>
      <c r="C14" s="547"/>
      <c r="D14" s="91" t="s">
        <v>41</v>
      </c>
      <c r="E14" s="547"/>
      <c r="F14" s="547"/>
      <c r="G14" s="536"/>
      <c r="H14" s="539"/>
      <c r="I14" s="161">
        <v>0.125</v>
      </c>
      <c r="J14" s="566">
        <v>0.125</v>
      </c>
      <c r="K14" s="162">
        <v>0.135</v>
      </c>
      <c r="L14" s="682"/>
      <c r="M14" s="596">
        <f t="shared" si="3"/>
        <v>0.135</v>
      </c>
      <c r="N14" s="597">
        <f t="shared" si="4"/>
        <v>0.135</v>
      </c>
      <c r="O14" s="587">
        <f t="shared" si="5"/>
        <v>0.14500000000000002</v>
      </c>
      <c r="P14" s="115"/>
      <c r="Q14" s="263"/>
      <c r="R14" s="287">
        <f t="shared" si="1"/>
        <v>0.125</v>
      </c>
      <c r="S14" s="287">
        <f>IF($S$1=0,R11,IF(OR($S$1=10,$S$1=20),R12,IF($S$1=30,R13,R14)))</f>
        <v>0.15000000000000002</v>
      </c>
      <c r="T14" s="287">
        <f>S14</f>
        <v>0.15000000000000002</v>
      </c>
      <c r="U14" s="287">
        <f>T14</f>
        <v>0.15000000000000002</v>
      </c>
      <c r="V14" s="287">
        <f>IF($V$1=2,U14,U10)</f>
        <v>0.16999999999999998</v>
      </c>
      <c r="W14" s="278"/>
      <c r="X14" s="83"/>
      <c r="Y14" s="263"/>
      <c r="Z14" s="287">
        <f t="shared" si="2"/>
        <v>0.135</v>
      </c>
      <c r="AA14" s="287">
        <f>IF($S$1=0,Z11,IF(OR($S$1=10,$S$1=20),Z12,IF($S$1=30,Z13,Z14)))</f>
        <v>0.16000000000000003</v>
      </c>
      <c r="AB14" s="287">
        <f>AA14</f>
        <v>0.16000000000000003</v>
      </c>
      <c r="AC14" s="287">
        <f>AB14</f>
        <v>0.16000000000000003</v>
      </c>
      <c r="AD14" s="287">
        <f>IF($V$1=2,AC14,AC10)</f>
        <v>0.18</v>
      </c>
      <c r="AE14" s="278"/>
    </row>
    <row r="15" spans="1:31" s="116" customFormat="1" ht="13.5" customHeight="1">
      <c r="A15" s="552" t="s">
        <v>78</v>
      </c>
      <c r="B15" s="555" t="s">
        <v>31</v>
      </c>
      <c r="C15" s="545" t="s">
        <v>32</v>
      </c>
      <c r="D15" s="81" t="s">
        <v>257</v>
      </c>
      <c r="E15" s="555" t="s">
        <v>44</v>
      </c>
      <c r="F15" s="555" t="s">
        <v>35</v>
      </c>
      <c r="G15" s="634" t="s">
        <v>36</v>
      </c>
      <c r="H15" s="683" t="s">
        <v>45</v>
      </c>
      <c r="I15" s="159">
        <v>0.15000000000000002</v>
      </c>
      <c r="J15" s="513">
        <v>0.15000000000000002</v>
      </c>
      <c r="K15" s="163">
        <v>0.15999999999999998</v>
      </c>
      <c r="L15" s="678">
        <v>6000</v>
      </c>
      <c r="M15" s="598">
        <f t="shared" si="3"/>
        <v>0.16000000000000003</v>
      </c>
      <c r="N15" s="599">
        <f t="shared" si="4"/>
        <v>0.16000000000000003</v>
      </c>
      <c r="O15" s="590">
        <f t="shared" si="5"/>
        <v>0.16999999999999998</v>
      </c>
      <c r="Q15" s="83" t="s">
        <v>147</v>
      </c>
      <c r="R15" s="283">
        <f t="shared" si="1"/>
        <v>0.15000000000000002</v>
      </c>
      <c r="S15" s="284"/>
      <c r="T15" s="284"/>
      <c r="U15" s="284"/>
      <c r="V15" s="284"/>
      <c r="W15" s="278"/>
      <c r="X15" s="83"/>
      <c r="Y15" s="83" t="s">
        <v>147</v>
      </c>
      <c r="Z15" s="283">
        <f t="shared" si="2"/>
        <v>0.16000000000000003</v>
      </c>
      <c r="AA15" s="284"/>
      <c r="AB15" s="284"/>
      <c r="AC15" s="284"/>
      <c r="AD15" s="284"/>
      <c r="AE15" s="278"/>
    </row>
    <row r="16" spans="1:31" s="116" customFormat="1" ht="13.5" customHeight="1">
      <c r="A16" s="553"/>
      <c r="B16" s="556"/>
      <c r="C16" s="546"/>
      <c r="D16" s="89" t="s">
        <v>258</v>
      </c>
      <c r="E16" s="556"/>
      <c r="F16" s="556"/>
      <c r="G16" s="540"/>
      <c r="H16" s="534"/>
      <c r="I16" s="148">
        <v>0.14500000000000002</v>
      </c>
      <c r="J16" s="511">
        <v>0.14500000000000002</v>
      </c>
      <c r="K16" s="149">
        <v>0.15500000000000003</v>
      </c>
      <c r="L16" s="679"/>
      <c r="M16" s="594">
        <f t="shared" si="3"/>
        <v>0.15500000000000003</v>
      </c>
      <c r="N16" s="595">
        <f t="shared" si="4"/>
        <v>0.15500000000000003</v>
      </c>
      <c r="O16" s="584">
        <f t="shared" si="5"/>
        <v>0.16500000000000004</v>
      </c>
      <c r="Q16" s="83"/>
      <c r="R16" s="283">
        <f t="shared" si="1"/>
        <v>0.14500000000000002</v>
      </c>
      <c r="S16" s="284"/>
      <c r="T16" s="284"/>
      <c r="U16" s="284"/>
      <c r="V16" s="284"/>
      <c r="W16" s="278"/>
      <c r="X16" s="83"/>
      <c r="Y16" s="83"/>
      <c r="Z16" s="283">
        <f t="shared" si="2"/>
        <v>0.15500000000000003</v>
      </c>
      <c r="AA16" s="284"/>
      <c r="AB16" s="284"/>
      <c r="AC16" s="284"/>
      <c r="AD16" s="284"/>
      <c r="AE16" s="278"/>
    </row>
    <row r="17" spans="1:31" s="116" customFormat="1" ht="13.5" customHeight="1">
      <c r="A17" s="553"/>
      <c r="B17" s="556"/>
      <c r="C17" s="546"/>
      <c r="D17" s="84" t="s">
        <v>40</v>
      </c>
      <c r="E17" s="556"/>
      <c r="F17" s="556"/>
      <c r="G17" s="540"/>
      <c r="H17" s="534"/>
      <c r="I17" s="148">
        <v>0.135</v>
      </c>
      <c r="J17" s="511">
        <v>0.135</v>
      </c>
      <c r="K17" s="149">
        <v>0.14500000000000002</v>
      </c>
      <c r="L17" s="679"/>
      <c r="M17" s="594">
        <f t="shared" si="3"/>
        <v>0.14500000000000002</v>
      </c>
      <c r="N17" s="595">
        <f t="shared" si="4"/>
        <v>0.14500000000000002</v>
      </c>
      <c r="O17" s="584">
        <f t="shared" si="5"/>
        <v>0.15500000000000003</v>
      </c>
      <c r="Q17" s="83" t="s">
        <v>151</v>
      </c>
      <c r="R17" s="283">
        <f t="shared" si="1"/>
        <v>0.135</v>
      </c>
      <c r="S17" s="284"/>
      <c r="T17" s="284"/>
      <c r="U17" s="284"/>
      <c r="V17" s="284"/>
      <c r="W17" s="278"/>
      <c r="X17" s="83"/>
      <c r="Y17" s="83" t="s">
        <v>151</v>
      </c>
      <c r="Z17" s="283">
        <f t="shared" si="2"/>
        <v>0.14500000000000002</v>
      </c>
      <c r="AA17" s="284"/>
      <c r="AB17" s="284"/>
      <c r="AC17" s="284"/>
      <c r="AD17" s="284"/>
      <c r="AE17" s="278"/>
    </row>
    <row r="18" spans="1:31" s="116" customFormat="1" ht="13.5" customHeight="1">
      <c r="A18" s="553"/>
      <c r="B18" s="556"/>
      <c r="C18" s="550"/>
      <c r="D18" s="84" t="s">
        <v>41</v>
      </c>
      <c r="E18" s="556"/>
      <c r="F18" s="556"/>
      <c r="G18" s="540"/>
      <c r="H18" s="531"/>
      <c r="I18" s="148">
        <v>0.125</v>
      </c>
      <c r="J18" s="511">
        <v>0.13</v>
      </c>
      <c r="K18" s="149">
        <v>0.135</v>
      </c>
      <c r="L18" s="680"/>
      <c r="M18" s="594">
        <f t="shared" si="3"/>
        <v>0.135</v>
      </c>
      <c r="N18" s="595">
        <f t="shared" si="4"/>
        <v>0.14</v>
      </c>
      <c r="O18" s="584">
        <f t="shared" si="5"/>
        <v>0.14500000000000002</v>
      </c>
      <c r="Q18" s="258"/>
      <c r="R18" s="285">
        <f t="shared" si="1"/>
        <v>0.13</v>
      </c>
      <c r="S18" s="285">
        <f>IF($S$1=0,R23,IF($S$1=10,R15,IF($S$1=20,R16,IF($S$1=30,R17,R18))))</f>
        <v>0.15000000000000002</v>
      </c>
      <c r="T18" s="288"/>
      <c r="U18" s="286"/>
      <c r="V18" s="286"/>
      <c r="W18" s="278"/>
      <c r="X18" s="83"/>
      <c r="Y18" s="258"/>
      <c r="Z18" s="285">
        <f t="shared" si="2"/>
        <v>0.14</v>
      </c>
      <c r="AA18" s="285">
        <f>IF($S$1=0,Z23,IF($S$1=10,Z15,IF($S$1=20,Z16,IF($S$1=30,Z17,Z18))))</f>
        <v>0.16000000000000003</v>
      </c>
      <c r="AB18" s="288"/>
      <c r="AC18" s="286"/>
      <c r="AD18" s="286"/>
      <c r="AE18" s="278"/>
    </row>
    <row r="19" spans="1:31" s="116" customFormat="1" ht="13.5" customHeight="1">
      <c r="A19" s="553"/>
      <c r="B19" s="556"/>
      <c r="C19" s="541" t="s">
        <v>46</v>
      </c>
      <c r="D19" s="84" t="s">
        <v>257</v>
      </c>
      <c r="E19" s="556"/>
      <c r="F19" s="556"/>
      <c r="G19" s="540"/>
      <c r="H19" s="563" t="s">
        <v>47</v>
      </c>
      <c r="I19" s="148">
        <v>0.12000000000000001</v>
      </c>
      <c r="J19" s="511">
        <v>0.12000000000000001</v>
      </c>
      <c r="K19" s="149">
        <v>0.13</v>
      </c>
      <c r="L19" s="681">
        <v>200</v>
      </c>
      <c r="M19" s="594">
        <f t="shared" si="3"/>
        <v>0.13</v>
      </c>
      <c r="N19" s="595">
        <f t="shared" si="4"/>
        <v>0.13</v>
      </c>
      <c r="O19" s="584">
        <f t="shared" si="5"/>
        <v>0.14</v>
      </c>
      <c r="Q19" s="83" t="s">
        <v>148</v>
      </c>
      <c r="R19" s="283">
        <f t="shared" si="1"/>
        <v>0.12000000000000001</v>
      </c>
      <c r="S19" s="284"/>
      <c r="T19" s="284"/>
      <c r="U19" s="286"/>
      <c r="V19" s="286"/>
      <c r="W19" s="278"/>
      <c r="X19" s="83"/>
      <c r="Y19" s="83" t="s">
        <v>148</v>
      </c>
      <c r="Z19" s="283">
        <f t="shared" si="2"/>
        <v>0.13</v>
      </c>
      <c r="AA19" s="284"/>
      <c r="AB19" s="284"/>
      <c r="AC19" s="286"/>
      <c r="AD19" s="286"/>
      <c r="AE19" s="278"/>
    </row>
    <row r="20" spans="1:31" s="116" customFormat="1" ht="13.5" customHeight="1">
      <c r="A20" s="553"/>
      <c r="B20" s="556"/>
      <c r="C20" s="546"/>
      <c r="D20" s="84" t="s">
        <v>258</v>
      </c>
      <c r="E20" s="556"/>
      <c r="F20" s="556"/>
      <c r="G20" s="540"/>
      <c r="H20" s="558"/>
      <c r="I20" s="148">
        <v>0.115</v>
      </c>
      <c r="J20" s="511">
        <v>0.115</v>
      </c>
      <c r="K20" s="149">
        <v>0.125</v>
      </c>
      <c r="L20" s="679"/>
      <c r="M20" s="594">
        <f t="shared" si="3"/>
        <v>0.125</v>
      </c>
      <c r="N20" s="595">
        <f t="shared" si="4"/>
        <v>0.125</v>
      </c>
      <c r="O20" s="584">
        <f t="shared" si="5"/>
        <v>0.135</v>
      </c>
      <c r="Q20" s="83"/>
      <c r="R20" s="283">
        <f t="shared" si="1"/>
        <v>0.115</v>
      </c>
      <c r="S20" s="284"/>
      <c r="T20" s="284"/>
      <c r="U20" s="286"/>
      <c r="V20" s="286"/>
      <c r="W20" s="278"/>
      <c r="X20" s="83"/>
      <c r="Y20" s="83"/>
      <c r="Z20" s="283">
        <f t="shared" si="2"/>
        <v>0.125</v>
      </c>
      <c r="AA20" s="284"/>
      <c r="AB20" s="284"/>
      <c r="AC20" s="286"/>
      <c r="AD20" s="286"/>
      <c r="AE20" s="278"/>
    </row>
    <row r="21" spans="1:31" s="116" customFormat="1" ht="13.5" customHeight="1">
      <c r="A21" s="553"/>
      <c r="B21" s="556"/>
      <c r="C21" s="546"/>
      <c r="D21" s="84" t="s">
        <v>40</v>
      </c>
      <c r="E21" s="556"/>
      <c r="F21" s="556"/>
      <c r="G21" s="540"/>
      <c r="H21" s="558"/>
      <c r="I21" s="148">
        <v>0.105</v>
      </c>
      <c r="J21" s="511">
        <v>0.105</v>
      </c>
      <c r="K21" s="149">
        <v>0.115</v>
      </c>
      <c r="L21" s="679"/>
      <c r="M21" s="594">
        <f t="shared" si="3"/>
        <v>0.11499999999999999</v>
      </c>
      <c r="N21" s="595">
        <f t="shared" si="4"/>
        <v>0.11499999999999999</v>
      </c>
      <c r="O21" s="584">
        <f t="shared" si="5"/>
        <v>0.125</v>
      </c>
      <c r="Q21" s="83" t="s">
        <v>151</v>
      </c>
      <c r="R21" s="283">
        <f t="shared" si="1"/>
        <v>0.105</v>
      </c>
      <c r="S21" s="284"/>
      <c r="T21" s="284"/>
      <c r="U21" s="286"/>
      <c r="V21" s="286"/>
      <c r="W21" s="278"/>
      <c r="X21" s="83"/>
      <c r="Y21" s="83" t="s">
        <v>151</v>
      </c>
      <c r="Z21" s="283">
        <f t="shared" si="2"/>
        <v>0.11499999999999999</v>
      </c>
      <c r="AA21" s="284"/>
      <c r="AB21" s="284"/>
      <c r="AC21" s="286"/>
      <c r="AD21" s="286"/>
      <c r="AE21" s="278"/>
    </row>
    <row r="22" spans="1:31" s="116" customFormat="1" ht="13.5" customHeight="1">
      <c r="A22" s="553"/>
      <c r="B22" s="556"/>
      <c r="C22" s="550"/>
      <c r="D22" s="88" t="s">
        <v>41</v>
      </c>
      <c r="E22" s="557"/>
      <c r="F22" s="557"/>
      <c r="G22" s="540"/>
      <c r="H22" s="559"/>
      <c r="I22" s="148">
        <v>0.095</v>
      </c>
      <c r="J22" s="511">
        <v>0.1</v>
      </c>
      <c r="K22" s="149">
        <v>0.105</v>
      </c>
      <c r="L22" s="680"/>
      <c r="M22" s="594">
        <f t="shared" si="3"/>
        <v>0.105</v>
      </c>
      <c r="N22" s="595">
        <f t="shared" si="4"/>
        <v>0.11</v>
      </c>
      <c r="O22" s="584">
        <f t="shared" si="5"/>
        <v>0.11499999999999999</v>
      </c>
      <c r="Q22" s="258"/>
      <c r="R22" s="285">
        <f t="shared" si="1"/>
        <v>0.1</v>
      </c>
      <c r="S22" s="285">
        <f>IF($S$1=0,R27,IF($S$1=10,R19,IF($S$1=20,R20,IF($S$1=30,R21,R22))))</f>
        <v>0.12000000000000001</v>
      </c>
      <c r="T22" s="285">
        <f>IF($T$1&lt;&gt;1,S22,S18)</f>
        <v>0.15000000000000002</v>
      </c>
      <c r="U22" s="286"/>
      <c r="V22" s="286"/>
      <c r="W22" s="278"/>
      <c r="X22" s="83"/>
      <c r="Y22" s="258"/>
      <c r="Z22" s="285">
        <f t="shared" si="2"/>
        <v>0.11</v>
      </c>
      <c r="AA22" s="285">
        <f>IF($S$1=0,Z27,IF($S$1=10,Z19,IF($S$1=20,Z20,IF($S$1=30,Z21,Z22))))</f>
        <v>0.13</v>
      </c>
      <c r="AB22" s="285">
        <f>IF($T$1&lt;&gt;1,AA22,AA18)</f>
        <v>0.16000000000000003</v>
      </c>
      <c r="AC22" s="286"/>
      <c r="AD22" s="286"/>
      <c r="AE22" s="278"/>
    </row>
    <row r="23" spans="1:31" s="116" customFormat="1" ht="13.5" customHeight="1">
      <c r="A23" s="553"/>
      <c r="B23" s="556"/>
      <c r="C23" s="541" t="s">
        <v>32</v>
      </c>
      <c r="D23" s="84" t="s">
        <v>33</v>
      </c>
      <c r="E23" s="548" t="s">
        <v>34</v>
      </c>
      <c r="F23" s="541" t="s">
        <v>49</v>
      </c>
      <c r="G23" s="540"/>
      <c r="H23" s="532" t="s">
        <v>50</v>
      </c>
      <c r="I23" s="148">
        <v>0.15000000000000002</v>
      </c>
      <c r="J23" s="511">
        <v>0.15000000000000002</v>
      </c>
      <c r="K23" s="149">
        <v>0.15999999999999998</v>
      </c>
      <c r="L23" s="681">
        <v>6000</v>
      </c>
      <c r="M23" s="594">
        <f t="shared" si="3"/>
        <v>0.16000000000000003</v>
      </c>
      <c r="N23" s="595">
        <f t="shared" si="4"/>
        <v>0.16000000000000003</v>
      </c>
      <c r="O23" s="584">
        <f t="shared" si="5"/>
        <v>0.16999999999999998</v>
      </c>
      <c r="Q23" s="83" t="s">
        <v>147</v>
      </c>
      <c r="R23" s="283">
        <f t="shared" si="1"/>
        <v>0.15000000000000002</v>
      </c>
      <c r="S23" s="289"/>
      <c r="T23" s="289"/>
      <c r="U23" s="290"/>
      <c r="V23" s="290"/>
      <c r="W23" s="279"/>
      <c r="X23" s="97"/>
      <c r="Y23" s="83" t="s">
        <v>147</v>
      </c>
      <c r="Z23" s="283">
        <f t="shared" si="2"/>
        <v>0.16000000000000003</v>
      </c>
      <c r="AA23" s="289"/>
      <c r="AB23" s="289"/>
      <c r="AC23" s="290"/>
      <c r="AD23" s="290"/>
      <c r="AE23" s="279"/>
    </row>
    <row r="24" spans="1:31" s="116" customFormat="1" ht="13.5" customHeight="1">
      <c r="A24" s="553"/>
      <c r="B24" s="556"/>
      <c r="C24" s="546"/>
      <c r="D24" s="84" t="s">
        <v>39</v>
      </c>
      <c r="E24" s="556"/>
      <c r="F24" s="546"/>
      <c r="G24" s="540"/>
      <c r="H24" s="538"/>
      <c r="I24" s="148">
        <v>0.13</v>
      </c>
      <c r="J24" s="511">
        <v>0.135</v>
      </c>
      <c r="K24" s="149">
        <v>0.14500000000000002</v>
      </c>
      <c r="L24" s="679"/>
      <c r="M24" s="594">
        <f t="shared" si="3"/>
        <v>0.14</v>
      </c>
      <c r="N24" s="595">
        <f t="shared" si="4"/>
        <v>0.14500000000000002</v>
      </c>
      <c r="O24" s="584">
        <f t="shared" si="5"/>
        <v>0.15500000000000003</v>
      </c>
      <c r="Q24" s="83" t="s">
        <v>152</v>
      </c>
      <c r="R24" s="283">
        <f t="shared" si="1"/>
        <v>0.135</v>
      </c>
      <c r="S24" s="289"/>
      <c r="T24" s="289"/>
      <c r="U24" s="290"/>
      <c r="V24" s="290"/>
      <c r="W24" s="279"/>
      <c r="X24" s="97"/>
      <c r="Y24" s="83" t="s">
        <v>152</v>
      </c>
      <c r="Z24" s="283">
        <f t="shared" si="2"/>
        <v>0.14500000000000002</v>
      </c>
      <c r="AA24" s="289"/>
      <c r="AB24" s="289"/>
      <c r="AC24" s="290"/>
      <c r="AD24" s="290"/>
      <c r="AE24" s="279"/>
    </row>
    <row r="25" spans="1:31" s="116" customFormat="1" ht="13.5" customHeight="1">
      <c r="A25" s="553"/>
      <c r="B25" s="556"/>
      <c r="C25" s="546"/>
      <c r="D25" s="84" t="s">
        <v>40</v>
      </c>
      <c r="E25" s="556"/>
      <c r="F25" s="546"/>
      <c r="G25" s="540"/>
      <c r="H25" s="538"/>
      <c r="I25" s="148">
        <v>0.125</v>
      </c>
      <c r="J25" s="511">
        <v>0.13</v>
      </c>
      <c r="K25" s="149">
        <v>0.135</v>
      </c>
      <c r="L25" s="679"/>
      <c r="M25" s="594">
        <f t="shared" si="3"/>
        <v>0.135</v>
      </c>
      <c r="N25" s="595">
        <f t="shared" si="4"/>
        <v>0.14</v>
      </c>
      <c r="O25" s="584">
        <f t="shared" si="5"/>
        <v>0.14500000000000002</v>
      </c>
      <c r="Q25" s="83"/>
      <c r="R25" s="283">
        <f t="shared" si="1"/>
        <v>0.13</v>
      </c>
      <c r="S25" s="289"/>
      <c r="T25" s="289"/>
      <c r="U25" s="290"/>
      <c r="V25" s="290"/>
      <c r="W25" s="279"/>
      <c r="X25" s="97"/>
      <c r="Y25" s="83"/>
      <c r="Z25" s="283">
        <f t="shared" si="2"/>
        <v>0.14</v>
      </c>
      <c r="AA25" s="289"/>
      <c r="AB25" s="289"/>
      <c r="AC25" s="290"/>
      <c r="AD25" s="290"/>
      <c r="AE25" s="279"/>
    </row>
    <row r="26" spans="1:31" s="116" customFormat="1" ht="13.5" customHeight="1">
      <c r="A26" s="553"/>
      <c r="B26" s="556"/>
      <c r="C26" s="550"/>
      <c r="D26" s="84" t="s">
        <v>41</v>
      </c>
      <c r="E26" s="556"/>
      <c r="F26" s="546"/>
      <c r="G26" s="540"/>
      <c r="H26" s="530"/>
      <c r="I26" s="148">
        <v>0.12000000000000001</v>
      </c>
      <c r="J26" s="511">
        <v>0.125</v>
      </c>
      <c r="K26" s="149">
        <v>0.13</v>
      </c>
      <c r="L26" s="680"/>
      <c r="M26" s="594">
        <f t="shared" si="3"/>
        <v>0.13</v>
      </c>
      <c r="N26" s="595">
        <f t="shared" si="4"/>
        <v>0.135</v>
      </c>
      <c r="O26" s="584">
        <f t="shared" si="5"/>
        <v>0.14</v>
      </c>
      <c r="Q26" s="258"/>
      <c r="R26" s="285">
        <f t="shared" si="1"/>
        <v>0.125</v>
      </c>
      <c r="S26" s="285">
        <f>IF($S$1=0,R23,IF(OR($S$1=10,$S$1=20),R24,IF($S$1=30,R25,R26)))</f>
        <v>0.135</v>
      </c>
      <c r="T26" s="290"/>
      <c r="U26" s="290"/>
      <c r="V26" s="290"/>
      <c r="W26" s="279"/>
      <c r="X26" s="97"/>
      <c r="Y26" s="258"/>
      <c r="Z26" s="285">
        <f t="shared" si="2"/>
        <v>0.135</v>
      </c>
      <c r="AA26" s="285">
        <f>IF($S$1=0,Z23,IF(OR($S$1=10,$S$1=20),Z24,IF($S$1=30,Z25,Z26)))</f>
        <v>0.14500000000000002</v>
      </c>
      <c r="AB26" s="290"/>
      <c r="AC26" s="290"/>
      <c r="AD26" s="290"/>
      <c r="AE26" s="279"/>
    </row>
    <row r="27" spans="1:31" s="116" customFormat="1" ht="13.5" customHeight="1">
      <c r="A27" s="553"/>
      <c r="B27" s="556"/>
      <c r="C27" s="541" t="s">
        <v>46</v>
      </c>
      <c r="D27" s="84" t="s">
        <v>33</v>
      </c>
      <c r="E27" s="556"/>
      <c r="F27" s="546"/>
      <c r="G27" s="540"/>
      <c r="H27" s="526" t="s">
        <v>51</v>
      </c>
      <c r="I27" s="148">
        <v>0.12000000000000001</v>
      </c>
      <c r="J27" s="511">
        <v>0.12000000000000001</v>
      </c>
      <c r="K27" s="149">
        <v>0.13</v>
      </c>
      <c r="L27" s="681">
        <v>200</v>
      </c>
      <c r="M27" s="594">
        <f t="shared" si="3"/>
        <v>0.13</v>
      </c>
      <c r="N27" s="595">
        <f t="shared" si="4"/>
        <v>0.13</v>
      </c>
      <c r="O27" s="584">
        <f t="shared" si="5"/>
        <v>0.14</v>
      </c>
      <c r="Q27" s="83" t="s">
        <v>153</v>
      </c>
      <c r="R27" s="283">
        <f t="shared" si="1"/>
        <v>0.12000000000000001</v>
      </c>
      <c r="S27" s="289"/>
      <c r="T27" s="289"/>
      <c r="U27" s="289"/>
      <c r="V27" s="290"/>
      <c r="W27" s="279"/>
      <c r="X27" s="97"/>
      <c r="Y27" s="83" t="s">
        <v>153</v>
      </c>
      <c r="Z27" s="283">
        <f t="shared" si="2"/>
        <v>0.13</v>
      </c>
      <c r="AA27" s="289"/>
      <c r="AB27" s="289"/>
      <c r="AC27" s="289"/>
      <c r="AD27" s="290"/>
      <c r="AE27" s="279"/>
    </row>
    <row r="28" spans="1:31" s="116" customFormat="1" ht="12.75" customHeight="1">
      <c r="A28" s="553"/>
      <c r="B28" s="556"/>
      <c r="C28" s="546"/>
      <c r="D28" s="84" t="s">
        <v>39</v>
      </c>
      <c r="E28" s="556"/>
      <c r="F28" s="546"/>
      <c r="G28" s="540"/>
      <c r="H28" s="527"/>
      <c r="I28" s="148">
        <v>0.1</v>
      </c>
      <c r="J28" s="511">
        <v>0.10500000000000001</v>
      </c>
      <c r="K28" s="149">
        <v>0.11500000000000002</v>
      </c>
      <c r="L28" s="679"/>
      <c r="M28" s="594">
        <f t="shared" si="3"/>
        <v>0.11</v>
      </c>
      <c r="N28" s="595">
        <f t="shared" si="4"/>
        <v>0.115</v>
      </c>
      <c r="O28" s="584">
        <f t="shared" si="5"/>
        <v>0.12500000000000003</v>
      </c>
      <c r="Q28" s="83" t="s">
        <v>152</v>
      </c>
      <c r="R28" s="283">
        <f t="shared" si="1"/>
        <v>0.10500000000000001</v>
      </c>
      <c r="S28" s="289"/>
      <c r="T28" s="289"/>
      <c r="U28" s="289"/>
      <c r="V28" s="290"/>
      <c r="W28" s="279"/>
      <c r="X28" s="97"/>
      <c r="Y28" s="83" t="s">
        <v>152</v>
      </c>
      <c r="Z28" s="283">
        <f t="shared" si="2"/>
        <v>0.115</v>
      </c>
      <c r="AA28" s="289"/>
      <c r="AB28" s="289"/>
      <c r="AC28" s="289"/>
      <c r="AD28" s="290"/>
      <c r="AE28" s="279"/>
    </row>
    <row r="29" spans="1:31" s="116" customFormat="1" ht="14.25" customHeight="1">
      <c r="A29" s="553"/>
      <c r="B29" s="556"/>
      <c r="C29" s="546"/>
      <c r="D29" s="84" t="s">
        <v>40</v>
      </c>
      <c r="E29" s="556"/>
      <c r="F29" s="546"/>
      <c r="G29" s="540"/>
      <c r="H29" s="527"/>
      <c r="I29" s="148">
        <v>0.095</v>
      </c>
      <c r="J29" s="511">
        <v>0.1</v>
      </c>
      <c r="K29" s="149">
        <v>0.10500000000000001</v>
      </c>
      <c r="L29" s="679"/>
      <c r="M29" s="594">
        <f t="shared" si="3"/>
        <v>0.105</v>
      </c>
      <c r="N29" s="595">
        <f t="shared" si="4"/>
        <v>0.11</v>
      </c>
      <c r="O29" s="584">
        <f t="shared" si="5"/>
        <v>0.115</v>
      </c>
      <c r="Q29" s="83"/>
      <c r="R29" s="283">
        <f t="shared" si="1"/>
        <v>0.1</v>
      </c>
      <c r="S29" s="289"/>
      <c r="T29" s="289"/>
      <c r="U29" s="289"/>
      <c r="V29" s="290"/>
      <c r="W29" s="279"/>
      <c r="X29" s="97"/>
      <c r="Y29" s="83"/>
      <c r="Z29" s="283">
        <f t="shared" si="2"/>
        <v>0.11</v>
      </c>
      <c r="AA29" s="289"/>
      <c r="AB29" s="289"/>
      <c r="AC29" s="289"/>
      <c r="AD29" s="290"/>
      <c r="AE29" s="279"/>
    </row>
    <row r="30" spans="1:31" s="116" customFormat="1" ht="13.5" customHeight="1">
      <c r="A30" s="553"/>
      <c r="B30" s="557"/>
      <c r="C30" s="550"/>
      <c r="D30" s="84" t="s">
        <v>41</v>
      </c>
      <c r="E30" s="557"/>
      <c r="F30" s="550"/>
      <c r="G30" s="540"/>
      <c r="H30" s="528"/>
      <c r="I30" s="148">
        <v>0.09000000000000001</v>
      </c>
      <c r="J30" s="511">
        <v>0.095</v>
      </c>
      <c r="K30" s="149">
        <v>0.1</v>
      </c>
      <c r="L30" s="680"/>
      <c r="M30" s="594">
        <f t="shared" si="3"/>
        <v>0.1</v>
      </c>
      <c r="N30" s="595">
        <f t="shared" si="4"/>
        <v>0.105</v>
      </c>
      <c r="O30" s="584">
        <f t="shared" si="5"/>
        <v>0.11</v>
      </c>
      <c r="Q30" s="258"/>
      <c r="R30" s="285">
        <f t="shared" si="1"/>
        <v>0.095</v>
      </c>
      <c r="S30" s="285">
        <f>IF($S$1=0,R27,IF(OR($S$1=10,$S$1=20),R28,IF($S$1=30,R29,R30)))</f>
        <v>0.10500000000000001</v>
      </c>
      <c r="T30" s="285">
        <f>IF($T$1&lt;&gt;1,S30,S26)</f>
        <v>0.135</v>
      </c>
      <c r="U30" s="285">
        <f>IF($U$1="да",T30,T22)</f>
        <v>0.135</v>
      </c>
      <c r="V30" s="290"/>
      <c r="W30" s="279"/>
      <c r="X30" s="97"/>
      <c r="Y30" s="258"/>
      <c r="Z30" s="285">
        <f t="shared" si="2"/>
        <v>0.105</v>
      </c>
      <c r="AA30" s="285">
        <f>IF($S$1=0,Z27,IF(OR($S$1=10,$S$1=20),Z28,IF($S$1=30,Z29,Z30)))</f>
        <v>0.115</v>
      </c>
      <c r="AB30" s="285">
        <f>IF($T$1&lt;&gt;1,AA30,AA26)</f>
        <v>0.14500000000000002</v>
      </c>
      <c r="AC30" s="285">
        <f>IF($U$1="да",AB30,AB22)</f>
        <v>0.14500000000000002</v>
      </c>
      <c r="AD30" s="290"/>
      <c r="AE30" s="279"/>
    </row>
    <row r="31" spans="1:31" s="116" customFormat="1" ht="13.5" customHeight="1">
      <c r="A31" s="553"/>
      <c r="B31" s="548" t="s">
        <v>42</v>
      </c>
      <c r="C31" s="541" t="s">
        <v>32</v>
      </c>
      <c r="D31" s="84" t="s">
        <v>33</v>
      </c>
      <c r="E31" s="98" t="s">
        <v>34</v>
      </c>
      <c r="F31" s="90" t="s">
        <v>49</v>
      </c>
      <c r="G31" s="540"/>
      <c r="H31" s="532" t="s">
        <v>50</v>
      </c>
      <c r="I31" s="148">
        <v>0.13</v>
      </c>
      <c r="J31" s="511">
        <v>0.13</v>
      </c>
      <c r="K31" s="149">
        <v>0.14</v>
      </c>
      <c r="L31" s="681">
        <v>6000</v>
      </c>
      <c r="M31" s="594">
        <f t="shared" si="3"/>
        <v>0.14</v>
      </c>
      <c r="N31" s="595">
        <f t="shared" si="4"/>
        <v>0.14</v>
      </c>
      <c r="O31" s="584">
        <f t="shared" si="5"/>
        <v>0.15000000000000002</v>
      </c>
      <c r="Q31" s="83" t="s">
        <v>149</v>
      </c>
      <c r="R31" s="283">
        <f t="shared" si="1"/>
        <v>0.13</v>
      </c>
      <c r="S31" s="289"/>
      <c r="T31" s="289"/>
      <c r="U31" s="289"/>
      <c r="V31" s="290"/>
      <c r="W31" s="279"/>
      <c r="X31" s="97"/>
      <c r="Y31" s="83" t="s">
        <v>149</v>
      </c>
      <c r="Z31" s="283">
        <f t="shared" si="2"/>
        <v>0.14</v>
      </c>
      <c r="AA31" s="289"/>
      <c r="AB31" s="289"/>
      <c r="AC31" s="289"/>
      <c r="AD31" s="290"/>
      <c r="AE31" s="279"/>
    </row>
    <row r="32" spans="1:31" s="116" customFormat="1" ht="13.5" customHeight="1">
      <c r="A32" s="553"/>
      <c r="B32" s="556"/>
      <c r="C32" s="546"/>
      <c r="D32" s="84" t="s">
        <v>39</v>
      </c>
      <c r="E32" s="548" t="s">
        <v>44</v>
      </c>
      <c r="F32" s="548" t="s">
        <v>79</v>
      </c>
      <c r="G32" s="540"/>
      <c r="H32" s="538"/>
      <c r="I32" s="148">
        <v>0.12000000000000001</v>
      </c>
      <c r="J32" s="511">
        <v>0.125</v>
      </c>
      <c r="K32" s="149">
        <v>0.135</v>
      </c>
      <c r="L32" s="679"/>
      <c r="M32" s="594">
        <f t="shared" si="3"/>
        <v>0.13</v>
      </c>
      <c r="N32" s="595">
        <f t="shared" si="4"/>
        <v>0.135</v>
      </c>
      <c r="O32" s="584">
        <f t="shared" si="5"/>
        <v>0.14500000000000002</v>
      </c>
      <c r="Q32" s="83"/>
      <c r="R32" s="283">
        <f t="shared" si="1"/>
        <v>0.125</v>
      </c>
      <c r="S32" s="289"/>
      <c r="T32" s="289"/>
      <c r="U32" s="289"/>
      <c r="V32" s="290"/>
      <c r="W32" s="279"/>
      <c r="X32" s="97"/>
      <c r="Y32" s="83"/>
      <c r="Z32" s="283">
        <f t="shared" si="2"/>
        <v>0.135</v>
      </c>
      <c r="AA32" s="289"/>
      <c r="AB32" s="289"/>
      <c r="AC32" s="289"/>
      <c r="AD32" s="290"/>
      <c r="AE32" s="279"/>
    </row>
    <row r="33" spans="1:31" s="116" customFormat="1" ht="13.5" customHeight="1">
      <c r="A33" s="553"/>
      <c r="B33" s="556"/>
      <c r="C33" s="546"/>
      <c r="D33" s="84" t="s">
        <v>40</v>
      </c>
      <c r="E33" s="556"/>
      <c r="F33" s="556"/>
      <c r="G33" s="540"/>
      <c r="H33" s="538"/>
      <c r="I33" s="148">
        <v>0.115</v>
      </c>
      <c r="J33" s="511">
        <v>0.12000000000000001</v>
      </c>
      <c r="K33" s="149">
        <v>0.125</v>
      </c>
      <c r="L33" s="679"/>
      <c r="M33" s="594">
        <f t="shared" si="3"/>
        <v>0.125</v>
      </c>
      <c r="N33" s="595">
        <f t="shared" si="4"/>
        <v>0.13</v>
      </c>
      <c r="O33" s="584">
        <f t="shared" si="5"/>
        <v>0.135</v>
      </c>
      <c r="Q33" s="83"/>
      <c r="R33" s="283">
        <f t="shared" si="1"/>
        <v>0.12000000000000001</v>
      </c>
      <c r="S33" s="289"/>
      <c r="T33" s="289"/>
      <c r="U33" s="289"/>
      <c r="V33" s="290"/>
      <c r="W33" s="279"/>
      <c r="X33" s="97"/>
      <c r="Y33" s="83"/>
      <c r="Z33" s="283">
        <f t="shared" si="2"/>
        <v>0.13</v>
      </c>
      <c r="AA33" s="289"/>
      <c r="AB33" s="289"/>
      <c r="AC33" s="289"/>
      <c r="AD33" s="290"/>
      <c r="AE33" s="279"/>
    </row>
    <row r="34" spans="1:31" s="116" customFormat="1" ht="13.5" customHeight="1">
      <c r="A34" s="553"/>
      <c r="B34" s="556"/>
      <c r="C34" s="550"/>
      <c r="D34" s="84" t="s">
        <v>41</v>
      </c>
      <c r="E34" s="556"/>
      <c r="F34" s="557"/>
      <c r="G34" s="540"/>
      <c r="H34" s="530"/>
      <c r="I34" s="148">
        <v>0.11</v>
      </c>
      <c r="J34" s="511">
        <v>0.115</v>
      </c>
      <c r="K34" s="149">
        <v>0.12000000000000001</v>
      </c>
      <c r="L34" s="680"/>
      <c r="M34" s="594">
        <f t="shared" si="3"/>
        <v>0.12</v>
      </c>
      <c r="N34" s="595">
        <f t="shared" si="4"/>
        <v>0.125</v>
      </c>
      <c r="O34" s="584">
        <f t="shared" si="5"/>
        <v>0.13</v>
      </c>
      <c r="Q34" s="258"/>
      <c r="R34" s="285">
        <f t="shared" si="1"/>
        <v>0.115</v>
      </c>
      <c r="S34" s="285">
        <f>IF($S$1=0,R31,IF(OR($S$1=10,$S$1=20),R32,IF($S$1=30,R33,R34)))</f>
        <v>0.125</v>
      </c>
      <c r="T34" s="290"/>
      <c r="U34" s="290"/>
      <c r="V34" s="290"/>
      <c r="W34" s="279"/>
      <c r="X34" s="97"/>
      <c r="Y34" s="258"/>
      <c r="Z34" s="285">
        <f t="shared" si="2"/>
        <v>0.125</v>
      </c>
      <c r="AA34" s="285">
        <f>IF($S$1=0,Z31,IF(OR($S$1=10,$S$1=20),Z32,IF($S$1=30,Z33,Z34)))</f>
        <v>0.135</v>
      </c>
      <c r="AB34" s="290"/>
      <c r="AC34" s="290"/>
      <c r="AD34" s="290"/>
      <c r="AE34" s="279"/>
    </row>
    <row r="35" spans="1:31" s="116" customFormat="1" ht="13.5" customHeight="1">
      <c r="A35" s="553"/>
      <c r="B35" s="556"/>
      <c r="C35" s="541" t="s">
        <v>46</v>
      </c>
      <c r="D35" s="84" t="s">
        <v>33</v>
      </c>
      <c r="E35" s="98" t="s">
        <v>34</v>
      </c>
      <c r="F35" s="90" t="s">
        <v>49</v>
      </c>
      <c r="G35" s="540"/>
      <c r="H35" s="526" t="s">
        <v>51</v>
      </c>
      <c r="I35" s="148">
        <v>0.1</v>
      </c>
      <c r="J35" s="511">
        <v>0.1</v>
      </c>
      <c r="K35" s="149">
        <v>0.11</v>
      </c>
      <c r="L35" s="684">
        <v>200</v>
      </c>
      <c r="M35" s="594">
        <f t="shared" si="3"/>
        <v>0.11</v>
      </c>
      <c r="N35" s="595">
        <f t="shared" si="4"/>
        <v>0.11</v>
      </c>
      <c r="O35" s="584">
        <f t="shared" si="5"/>
        <v>0.12</v>
      </c>
      <c r="Q35" s="83" t="s">
        <v>150</v>
      </c>
      <c r="R35" s="283">
        <f t="shared" si="1"/>
        <v>0.1</v>
      </c>
      <c r="S35" s="289"/>
      <c r="T35" s="289"/>
      <c r="U35" s="289"/>
      <c r="V35" s="290"/>
      <c r="W35" s="279"/>
      <c r="X35" s="97"/>
      <c r="Y35" s="83" t="s">
        <v>150</v>
      </c>
      <c r="Z35" s="283">
        <f t="shared" si="2"/>
        <v>0.11</v>
      </c>
      <c r="AA35" s="289"/>
      <c r="AB35" s="289"/>
      <c r="AC35" s="289"/>
      <c r="AD35" s="290"/>
      <c r="AE35" s="279"/>
    </row>
    <row r="36" spans="1:31" s="116" customFormat="1" ht="13.5" customHeight="1">
      <c r="A36" s="553"/>
      <c r="B36" s="556"/>
      <c r="C36" s="546"/>
      <c r="D36" s="84" t="s">
        <v>39</v>
      </c>
      <c r="E36" s="548" t="s">
        <v>44</v>
      </c>
      <c r="F36" s="548" t="s">
        <v>80</v>
      </c>
      <c r="G36" s="540"/>
      <c r="H36" s="527"/>
      <c r="I36" s="148">
        <v>0.09</v>
      </c>
      <c r="J36" s="511">
        <v>0.095</v>
      </c>
      <c r="K36" s="149">
        <v>0.105</v>
      </c>
      <c r="L36" s="685"/>
      <c r="M36" s="594">
        <f t="shared" si="3"/>
        <v>0.09999999999999999</v>
      </c>
      <c r="N36" s="595">
        <f t="shared" si="4"/>
        <v>0.105</v>
      </c>
      <c r="O36" s="584">
        <f t="shared" si="5"/>
        <v>0.11499999999999999</v>
      </c>
      <c r="Q36" s="83"/>
      <c r="R36" s="283">
        <f t="shared" si="1"/>
        <v>0.095</v>
      </c>
      <c r="S36" s="289"/>
      <c r="T36" s="289"/>
      <c r="U36" s="289"/>
      <c r="V36" s="289"/>
      <c r="W36" s="279"/>
      <c r="X36" s="97"/>
      <c r="Y36" s="83"/>
      <c r="Z36" s="283">
        <f t="shared" si="2"/>
        <v>0.105</v>
      </c>
      <c r="AA36" s="289"/>
      <c r="AB36" s="289"/>
      <c r="AC36" s="289"/>
      <c r="AD36" s="289"/>
      <c r="AE36" s="279"/>
    </row>
    <row r="37" spans="1:31" s="116" customFormat="1" ht="13.5" customHeight="1">
      <c r="A37" s="553"/>
      <c r="B37" s="556"/>
      <c r="C37" s="546"/>
      <c r="D37" s="84" t="s">
        <v>40</v>
      </c>
      <c r="E37" s="556"/>
      <c r="F37" s="556"/>
      <c r="G37" s="540"/>
      <c r="H37" s="527"/>
      <c r="I37" s="148">
        <v>0.085</v>
      </c>
      <c r="J37" s="511">
        <v>0.09</v>
      </c>
      <c r="K37" s="149">
        <v>0.095</v>
      </c>
      <c r="L37" s="685"/>
      <c r="M37" s="594">
        <f t="shared" si="3"/>
        <v>0.095</v>
      </c>
      <c r="N37" s="595">
        <f t="shared" si="4"/>
        <v>0.09999999999999999</v>
      </c>
      <c r="O37" s="584">
        <f t="shared" si="5"/>
        <v>0.105</v>
      </c>
      <c r="Q37" s="83"/>
      <c r="R37" s="283">
        <f t="shared" si="1"/>
        <v>0.09</v>
      </c>
      <c r="S37" s="289"/>
      <c r="T37" s="289"/>
      <c r="U37" s="289"/>
      <c r="V37" s="289"/>
      <c r="W37" s="279"/>
      <c r="X37" s="97"/>
      <c r="Y37" s="83"/>
      <c r="Z37" s="283">
        <f t="shared" si="2"/>
        <v>0.09999999999999999</v>
      </c>
      <c r="AA37" s="289"/>
      <c r="AB37" s="289"/>
      <c r="AC37" s="289"/>
      <c r="AD37" s="289"/>
      <c r="AE37" s="279"/>
    </row>
    <row r="38" spans="1:31" s="116" customFormat="1" ht="13.5" customHeight="1" thickBot="1">
      <c r="A38" s="554"/>
      <c r="B38" s="549"/>
      <c r="C38" s="547"/>
      <c r="D38" s="91" t="s">
        <v>41</v>
      </c>
      <c r="E38" s="549"/>
      <c r="F38" s="549"/>
      <c r="G38" s="533"/>
      <c r="H38" s="529"/>
      <c r="I38" s="164">
        <v>0.08</v>
      </c>
      <c r="J38" s="510">
        <v>0.085</v>
      </c>
      <c r="K38" s="165">
        <v>0.09</v>
      </c>
      <c r="L38" s="686"/>
      <c r="M38" s="594">
        <f t="shared" si="3"/>
        <v>0.09</v>
      </c>
      <c r="N38" s="595">
        <f t="shared" si="4"/>
        <v>0.095</v>
      </c>
      <c r="O38" s="584">
        <f t="shared" si="5"/>
        <v>0.09999999999999999</v>
      </c>
      <c r="Q38" s="265"/>
      <c r="R38" s="287">
        <f t="shared" si="1"/>
        <v>0.085</v>
      </c>
      <c r="S38" s="287">
        <f>IF($S$1=0,R35,IF(OR($S$1=10,$S$1=20),R36,IF($S$1=30,R37,R38)))</f>
        <v>0.095</v>
      </c>
      <c r="T38" s="287">
        <f>IF($T$1&lt;&gt;1,S38,S34)</f>
        <v>0.125</v>
      </c>
      <c r="U38" s="287">
        <f>T38</f>
        <v>0.125</v>
      </c>
      <c r="V38" s="287">
        <f>IF($V$1=2,U38,U30)</f>
        <v>0.135</v>
      </c>
      <c r="W38" s="279"/>
      <c r="X38" s="97"/>
      <c r="Y38" s="265"/>
      <c r="Z38" s="287">
        <f t="shared" si="2"/>
        <v>0.095</v>
      </c>
      <c r="AA38" s="287">
        <f>IF($S$1=0,Z35,IF(OR($S$1=10,$S$1=20),Z36,IF($S$1=30,Z37,Z38)))</f>
        <v>0.105</v>
      </c>
      <c r="AB38" s="287">
        <f>IF($T$1&lt;&gt;1,AA38,AA34)</f>
        <v>0.135</v>
      </c>
      <c r="AC38" s="287">
        <f>AB38</f>
        <v>0.135</v>
      </c>
      <c r="AD38" s="287">
        <f>IF($V$1=2,AC38,AC30)</f>
        <v>0.14500000000000002</v>
      </c>
      <c r="AE38" s="279"/>
    </row>
    <row r="39" spans="1:26" ht="12.75">
      <c r="A39" s="620" t="s">
        <v>81</v>
      </c>
      <c r="B39" s="623" t="s">
        <v>55</v>
      </c>
      <c r="C39" s="555" t="s">
        <v>32</v>
      </c>
      <c r="D39" s="102" t="s">
        <v>56</v>
      </c>
      <c r="E39" s="625" t="s">
        <v>34</v>
      </c>
      <c r="F39" s="555" t="s">
        <v>35</v>
      </c>
      <c r="G39" s="634" t="s">
        <v>36</v>
      </c>
      <c r="H39" s="635" t="s">
        <v>57</v>
      </c>
      <c r="I39" s="656">
        <v>0.205</v>
      </c>
      <c r="J39" s="657"/>
      <c r="K39" s="658"/>
      <c r="L39" s="687">
        <v>6000</v>
      </c>
      <c r="M39" s="656">
        <v>0.215</v>
      </c>
      <c r="N39" s="657"/>
      <c r="O39" s="661"/>
      <c r="P39" s="67"/>
      <c r="Q39" s="266" t="s">
        <v>145</v>
      </c>
      <c r="R39" s="67">
        <f>I39</f>
        <v>0.205</v>
      </c>
      <c r="Y39" s="266" t="s">
        <v>145</v>
      </c>
      <c r="Z39" s="67">
        <f>M39</f>
        <v>0.215</v>
      </c>
    </row>
    <row r="40" spans="1:29" ht="12.75">
      <c r="A40" s="621"/>
      <c r="B40" s="624"/>
      <c r="C40" s="556"/>
      <c r="D40" s="96" t="s">
        <v>58</v>
      </c>
      <c r="E40" s="626"/>
      <c r="F40" s="556"/>
      <c r="G40" s="540"/>
      <c r="H40" s="636"/>
      <c r="I40" s="615">
        <v>0.185</v>
      </c>
      <c r="J40" s="616"/>
      <c r="K40" s="617"/>
      <c r="L40" s="688"/>
      <c r="M40" s="615">
        <v>0.195</v>
      </c>
      <c r="N40" s="616"/>
      <c r="O40" s="619"/>
      <c r="P40" s="67"/>
      <c r="Q40" s="267"/>
      <c r="R40" s="262">
        <f aca="true" t="shared" si="6" ref="R40:R62">I40</f>
        <v>0.185</v>
      </c>
      <c r="S40" s="285">
        <f>IF($S$2=30,R40,R39)</f>
        <v>0.185</v>
      </c>
      <c r="T40" s="262">
        <f>S40</f>
        <v>0.185</v>
      </c>
      <c r="U40" s="262">
        <f>T40</f>
        <v>0.185</v>
      </c>
      <c r="Y40" s="267"/>
      <c r="Z40" s="262">
        <f aca="true" t="shared" si="7" ref="Z40:Z62">M40</f>
        <v>0.195</v>
      </c>
      <c r="AA40" s="285">
        <f>IF($S$2=30,Z40,Z39)</f>
        <v>0.195</v>
      </c>
      <c r="AB40" s="262">
        <f>AA40</f>
        <v>0.195</v>
      </c>
      <c r="AC40" s="262">
        <f>AB40</f>
        <v>0.195</v>
      </c>
    </row>
    <row r="41" spans="1:26" ht="12.75">
      <c r="A41" s="621"/>
      <c r="B41" s="628" t="s">
        <v>42</v>
      </c>
      <c r="C41" s="556"/>
      <c r="D41" s="96" t="s">
        <v>56</v>
      </c>
      <c r="E41" s="626"/>
      <c r="F41" s="556"/>
      <c r="G41" s="540"/>
      <c r="H41" s="636"/>
      <c r="I41" s="615">
        <v>0.185</v>
      </c>
      <c r="J41" s="616"/>
      <c r="K41" s="617"/>
      <c r="L41" s="688"/>
      <c r="M41" s="615">
        <v>0.195</v>
      </c>
      <c r="N41" s="616"/>
      <c r="O41" s="619"/>
      <c r="P41" s="67"/>
      <c r="Q41" s="266" t="s">
        <v>146</v>
      </c>
      <c r="R41" s="67">
        <f t="shared" si="6"/>
        <v>0.185</v>
      </c>
      <c r="Y41" s="266" t="s">
        <v>146</v>
      </c>
      <c r="Z41" s="67">
        <f t="shared" si="7"/>
        <v>0.195</v>
      </c>
    </row>
    <row r="42" spans="1:30" ht="13.5" thickBot="1">
      <c r="A42" s="622"/>
      <c r="B42" s="629"/>
      <c r="C42" s="549"/>
      <c r="D42" s="100" t="s">
        <v>58</v>
      </c>
      <c r="E42" s="627"/>
      <c r="F42" s="549"/>
      <c r="G42" s="533"/>
      <c r="H42" s="637"/>
      <c r="I42" s="649">
        <v>0.165</v>
      </c>
      <c r="J42" s="650"/>
      <c r="K42" s="651"/>
      <c r="L42" s="689"/>
      <c r="M42" s="649">
        <v>0.175</v>
      </c>
      <c r="N42" s="650"/>
      <c r="O42" s="652"/>
      <c r="P42" s="67"/>
      <c r="Q42" s="268"/>
      <c r="R42" s="264">
        <f t="shared" si="6"/>
        <v>0.165</v>
      </c>
      <c r="S42" s="287">
        <f>IF($S$2=30,R42,R41)</f>
        <v>0.165</v>
      </c>
      <c r="T42" s="264">
        <f>S42</f>
        <v>0.165</v>
      </c>
      <c r="U42" s="264">
        <f>T42</f>
        <v>0.165</v>
      </c>
      <c r="V42" s="264">
        <f>IF($V$1=2,U42,U40)</f>
        <v>0.185</v>
      </c>
      <c r="Y42" s="268"/>
      <c r="Z42" s="264">
        <f t="shared" si="7"/>
        <v>0.175</v>
      </c>
      <c r="AA42" s="287">
        <f>IF($S$2=30,Z42,Z41)</f>
        <v>0.175</v>
      </c>
      <c r="AB42" s="264">
        <f>AA42</f>
        <v>0.175</v>
      </c>
      <c r="AC42" s="264">
        <f>AB42</f>
        <v>0.175</v>
      </c>
      <c r="AD42" s="264">
        <f>IF($V$1=2,AC42,AC40)</f>
        <v>0.195</v>
      </c>
    </row>
    <row r="43" spans="1:26" ht="12.75">
      <c r="A43" s="638" t="s">
        <v>82</v>
      </c>
      <c r="B43" s="640" t="s">
        <v>55</v>
      </c>
      <c r="C43" s="556" t="s">
        <v>32</v>
      </c>
      <c r="D43" s="93" t="s">
        <v>56</v>
      </c>
      <c r="E43" s="626" t="s">
        <v>34</v>
      </c>
      <c r="F43" s="556" t="s">
        <v>35</v>
      </c>
      <c r="G43" s="540" t="s">
        <v>36</v>
      </c>
      <c r="H43" s="641" t="s">
        <v>57</v>
      </c>
      <c r="I43" s="643">
        <v>0.185</v>
      </c>
      <c r="J43" s="644"/>
      <c r="K43" s="645"/>
      <c r="L43" s="691">
        <v>6000</v>
      </c>
      <c r="M43" s="643">
        <v>0.195</v>
      </c>
      <c r="N43" s="644"/>
      <c r="O43" s="647"/>
      <c r="P43" s="67"/>
      <c r="Q43" s="266" t="s">
        <v>145</v>
      </c>
      <c r="R43" s="67">
        <f t="shared" si="6"/>
        <v>0.185</v>
      </c>
      <c r="Y43" s="266" t="s">
        <v>145</v>
      </c>
      <c r="Z43" s="67">
        <f t="shared" si="7"/>
        <v>0.195</v>
      </c>
    </row>
    <row r="44" spans="1:29" ht="12.75">
      <c r="A44" s="638"/>
      <c r="B44" s="624"/>
      <c r="C44" s="556"/>
      <c r="D44" s="96" t="s">
        <v>58</v>
      </c>
      <c r="E44" s="626"/>
      <c r="F44" s="556"/>
      <c r="G44" s="540"/>
      <c r="H44" s="641"/>
      <c r="I44" s="615">
        <v>0.165</v>
      </c>
      <c r="J44" s="616"/>
      <c r="K44" s="617"/>
      <c r="L44" s="688"/>
      <c r="M44" s="615">
        <v>0.175</v>
      </c>
      <c r="N44" s="616"/>
      <c r="O44" s="619"/>
      <c r="P44" s="67"/>
      <c r="Q44" s="267"/>
      <c r="R44" s="262">
        <f t="shared" si="6"/>
        <v>0.165</v>
      </c>
      <c r="S44" s="285">
        <f>IF($S$2=30,R44,R43)</f>
        <v>0.165</v>
      </c>
      <c r="T44" s="262">
        <f>S44</f>
        <v>0.165</v>
      </c>
      <c r="U44" s="262">
        <f>T44</f>
        <v>0.165</v>
      </c>
      <c r="Y44" s="267"/>
      <c r="Z44" s="262">
        <f t="shared" si="7"/>
        <v>0.175</v>
      </c>
      <c r="AA44" s="285">
        <f>IF($S$2=30,Z44,Z43)</f>
        <v>0.175</v>
      </c>
      <c r="AB44" s="262">
        <f>AA44</f>
        <v>0.175</v>
      </c>
      <c r="AC44" s="262">
        <f>AB44</f>
        <v>0.175</v>
      </c>
    </row>
    <row r="45" spans="1:26" ht="12.75">
      <c r="A45" s="638"/>
      <c r="B45" s="628" t="s">
        <v>42</v>
      </c>
      <c r="C45" s="556"/>
      <c r="D45" s="96" t="s">
        <v>56</v>
      </c>
      <c r="E45" s="626"/>
      <c r="F45" s="556"/>
      <c r="G45" s="540"/>
      <c r="H45" s="641"/>
      <c r="I45" s="615">
        <v>0.165</v>
      </c>
      <c r="J45" s="616"/>
      <c r="K45" s="617"/>
      <c r="L45" s="692">
        <v>6000</v>
      </c>
      <c r="M45" s="615">
        <v>0.175</v>
      </c>
      <c r="N45" s="616"/>
      <c r="O45" s="619"/>
      <c r="P45" s="67"/>
      <c r="Q45" s="266" t="s">
        <v>146</v>
      </c>
      <c r="R45" s="67">
        <f t="shared" si="6"/>
        <v>0.165</v>
      </c>
      <c r="Y45" s="266" t="s">
        <v>146</v>
      </c>
      <c r="Z45" s="67">
        <f t="shared" si="7"/>
        <v>0.175</v>
      </c>
    </row>
    <row r="46" spans="1:30" ht="13.5" thickBot="1">
      <c r="A46" s="621"/>
      <c r="B46" s="624"/>
      <c r="C46" s="557"/>
      <c r="D46" s="96" t="s">
        <v>58</v>
      </c>
      <c r="E46" s="627"/>
      <c r="F46" s="557"/>
      <c r="G46" s="690"/>
      <c r="H46" s="655"/>
      <c r="I46" s="615">
        <v>0.145</v>
      </c>
      <c r="J46" s="616"/>
      <c r="K46" s="617"/>
      <c r="L46" s="688"/>
      <c r="M46" s="615">
        <v>0.155</v>
      </c>
      <c r="N46" s="616"/>
      <c r="O46" s="619"/>
      <c r="P46" s="67"/>
      <c r="Q46" s="268"/>
      <c r="R46" s="264">
        <f t="shared" si="6"/>
        <v>0.145</v>
      </c>
      <c r="S46" s="287">
        <f>IF($S$2=30,R46,R45)</f>
        <v>0.145</v>
      </c>
      <c r="T46" s="264">
        <f>S46</f>
        <v>0.145</v>
      </c>
      <c r="U46" s="264">
        <f>T46</f>
        <v>0.145</v>
      </c>
      <c r="V46" s="264">
        <f>IF($V$1=2,U46,U44)</f>
        <v>0.165</v>
      </c>
      <c r="Y46" s="268"/>
      <c r="Z46" s="264">
        <f t="shared" si="7"/>
        <v>0.155</v>
      </c>
      <c r="AA46" s="287">
        <f>IF($S$2=30,Z46,Z45)</f>
        <v>0.155</v>
      </c>
      <c r="AB46" s="264">
        <f>AA46</f>
        <v>0.155</v>
      </c>
      <c r="AC46" s="264">
        <f>AB46</f>
        <v>0.155</v>
      </c>
      <c r="AD46" s="264">
        <f>IF($V$1=2,AC46,AC44)</f>
        <v>0.175</v>
      </c>
    </row>
    <row r="47" spans="1:26" ht="13.5" customHeight="1">
      <c r="A47" s="653" t="s">
        <v>83</v>
      </c>
      <c r="B47" s="623" t="s">
        <v>55</v>
      </c>
      <c r="C47" s="555" t="s">
        <v>32</v>
      </c>
      <c r="D47" s="102" t="s">
        <v>56</v>
      </c>
      <c r="E47" s="625" t="s">
        <v>61</v>
      </c>
      <c r="F47" s="555" t="s">
        <v>84</v>
      </c>
      <c r="G47" s="634" t="s">
        <v>36</v>
      </c>
      <c r="H47" s="654" t="s">
        <v>63</v>
      </c>
      <c r="I47" s="522">
        <v>0.16</v>
      </c>
      <c r="J47" s="523"/>
      <c r="K47" s="524"/>
      <c r="L47" s="687">
        <v>6000</v>
      </c>
      <c r="M47" s="656">
        <v>0.17</v>
      </c>
      <c r="N47" s="657"/>
      <c r="O47" s="661"/>
      <c r="Q47" s="112" t="s">
        <v>147</v>
      </c>
      <c r="R47" s="67">
        <f t="shared" si="6"/>
        <v>0.16</v>
      </c>
      <c r="Y47" s="112" t="s">
        <v>147</v>
      </c>
      <c r="Z47" s="67">
        <f t="shared" si="7"/>
        <v>0.17</v>
      </c>
    </row>
    <row r="48" spans="1:27" ht="13.5" customHeight="1">
      <c r="A48" s="638"/>
      <c r="B48" s="640"/>
      <c r="C48" s="557"/>
      <c r="D48" s="96" t="s">
        <v>58</v>
      </c>
      <c r="E48" s="626"/>
      <c r="F48" s="556"/>
      <c r="G48" s="540"/>
      <c r="H48" s="655"/>
      <c r="I48" s="664">
        <v>0.14</v>
      </c>
      <c r="J48" s="665"/>
      <c r="K48" s="666"/>
      <c r="L48" s="693"/>
      <c r="M48" s="615">
        <v>0.15</v>
      </c>
      <c r="N48" s="616"/>
      <c r="O48" s="619"/>
      <c r="Q48" s="269"/>
      <c r="R48" s="262">
        <f t="shared" si="6"/>
        <v>0.14</v>
      </c>
      <c r="S48" s="285">
        <f>IF($S$2=30,R48,R47)</f>
        <v>0.14</v>
      </c>
      <c r="Y48" s="269"/>
      <c r="Z48" s="262">
        <f t="shared" si="7"/>
        <v>0.15</v>
      </c>
      <c r="AA48" s="285">
        <f>IF($S$2=30,Z48,Z47)</f>
        <v>0.15</v>
      </c>
    </row>
    <row r="49" spans="1:26" ht="13.5" customHeight="1">
      <c r="A49" s="638"/>
      <c r="B49" s="640"/>
      <c r="C49" s="548" t="s">
        <v>64</v>
      </c>
      <c r="D49" s="96" t="s">
        <v>56</v>
      </c>
      <c r="E49" s="626"/>
      <c r="F49" s="556"/>
      <c r="G49" s="540"/>
      <c r="H49" s="526" t="s">
        <v>65</v>
      </c>
      <c r="I49" s="615">
        <v>0.12</v>
      </c>
      <c r="J49" s="616"/>
      <c r="K49" s="617"/>
      <c r="L49" s="694">
        <v>200</v>
      </c>
      <c r="M49" s="615">
        <v>0.13</v>
      </c>
      <c r="N49" s="616"/>
      <c r="O49" s="619"/>
      <c r="Q49" s="112" t="s">
        <v>148</v>
      </c>
      <c r="R49" s="67">
        <f t="shared" si="6"/>
        <v>0.12</v>
      </c>
      <c r="Y49" s="112" t="s">
        <v>148</v>
      </c>
      <c r="Z49" s="67">
        <f t="shared" si="7"/>
        <v>0.13</v>
      </c>
    </row>
    <row r="50" spans="1:29" ht="13.5" customHeight="1">
      <c r="A50" s="638"/>
      <c r="B50" s="624"/>
      <c r="C50" s="557"/>
      <c r="D50" s="96" t="s">
        <v>58</v>
      </c>
      <c r="E50" s="626"/>
      <c r="F50" s="556"/>
      <c r="G50" s="540"/>
      <c r="H50" s="528"/>
      <c r="I50" s="696">
        <v>0.1</v>
      </c>
      <c r="J50" s="697"/>
      <c r="K50" s="698"/>
      <c r="L50" s="695"/>
      <c r="M50" s="615">
        <v>0.11</v>
      </c>
      <c r="N50" s="616"/>
      <c r="O50" s="619"/>
      <c r="Q50" s="269"/>
      <c r="R50" s="262">
        <f t="shared" si="6"/>
        <v>0.1</v>
      </c>
      <c r="S50" s="285">
        <f>IF($S$2=30,R50,R49)</f>
        <v>0.1</v>
      </c>
      <c r="T50" s="285">
        <f>IF($T$1&lt;&gt;1,S50,S48)</f>
        <v>0.14</v>
      </c>
      <c r="U50" s="262">
        <f>T50</f>
        <v>0.14</v>
      </c>
      <c r="Y50" s="269"/>
      <c r="Z50" s="262">
        <f t="shared" si="7"/>
        <v>0.11</v>
      </c>
      <c r="AA50" s="285">
        <f>IF($S$2=30,Z50,Z49)</f>
        <v>0.11</v>
      </c>
      <c r="AB50" s="285">
        <f>IF($T$1&lt;&gt;1,AA50,AA48)</f>
        <v>0.15</v>
      </c>
      <c r="AC50" s="262">
        <f>AB50</f>
        <v>0.15</v>
      </c>
    </row>
    <row r="51" spans="1:26" ht="13.5" customHeight="1">
      <c r="A51" s="638"/>
      <c r="B51" s="628" t="s">
        <v>42</v>
      </c>
      <c r="C51" s="548" t="s">
        <v>32</v>
      </c>
      <c r="D51" s="96" t="s">
        <v>56</v>
      </c>
      <c r="E51" s="626"/>
      <c r="F51" s="556"/>
      <c r="G51" s="540"/>
      <c r="H51" s="659" t="s">
        <v>63</v>
      </c>
      <c r="I51" s="615">
        <v>0.14</v>
      </c>
      <c r="J51" s="616"/>
      <c r="K51" s="617"/>
      <c r="L51" s="692">
        <v>6000</v>
      </c>
      <c r="M51" s="615">
        <v>0.15</v>
      </c>
      <c r="N51" s="616"/>
      <c r="O51" s="619"/>
      <c r="Q51" s="112" t="s">
        <v>149</v>
      </c>
      <c r="R51" s="67">
        <f t="shared" si="6"/>
        <v>0.14</v>
      </c>
      <c r="Y51" s="112" t="s">
        <v>149</v>
      </c>
      <c r="Z51" s="67">
        <f t="shared" si="7"/>
        <v>0.15</v>
      </c>
    </row>
    <row r="52" spans="1:27" ht="13.5" customHeight="1">
      <c r="A52" s="638"/>
      <c r="B52" s="640"/>
      <c r="C52" s="557"/>
      <c r="D52" s="96" t="s">
        <v>58</v>
      </c>
      <c r="E52" s="626"/>
      <c r="F52" s="556"/>
      <c r="G52" s="540"/>
      <c r="H52" s="655"/>
      <c r="I52" s="615">
        <v>0.12</v>
      </c>
      <c r="J52" s="616"/>
      <c r="K52" s="617"/>
      <c r="L52" s="693"/>
      <c r="M52" s="615">
        <v>0.13</v>
      </c>
      <c r="N52" s="616"/>
      <c r="O52" s="619"/>
      <c r="Q52" s="269"/>
      <c r="R52" s="262">
        <f t="shared" si="6"/>
        <v>0.12</v>
      </c>
      <c r="S52" s="285">
        <f>IF($S$2=30,R52,R51)</f>
        <v>0.12</v>
      </c>
      <c r="Y52" s="269"/>
      <c r="Z52" s="262">
        <f t="shared" si="7"/>
        <v>0.13</v>
      </c>
      <c r="AA52" s="285">
        <f>IF($S$2=30,Z52,Z51)</f>
        <v>0.13</v>
      </c>
    </row>
    <row r="53" spans="1:26" ht="13.5" customHeight="1">
      <c r="A53" s="638"/>
      <c r="B53" s="640"/>
      <c r="C53" s="548" t="s">
        <v>64</v>
      </c>
      <c r="D53" s="96" t="s">
        <v>56</v>
      </c>
      <c r="E53" s="626"/>
      <c r="F53" s="556"/>
      <c r="G53" s="540"/>
      <c r="H53" s="526" t="s">
        <v>65</v>
      </c>
      <c r="I53" s="643">
        <v>0.1</v>
      </c>
      <c r="J53" s="644"/>
      <c r="K53" s="645"/>
      <c r="L53" s="694">
        <v>200</v>
      </c>
      <c r="M53" s="615">
        <v>0.11</v>
      </c>
      <c r="N53" s="616"/>
      <c r="O53" s="619"/>
      <c r="Q53" s="112" t="s">
        <v>150</v>
      </c>
      <c r="R53" s="67">
        <f t="shared" si="6"/>
        <v>0.1</v>
      </c>
      <c r="Y53" s="112" t="s">
        <v>150</v>
      </c>
      <c r="Z53" s="67">
        <f t="shared" si="7"/>
        <v>0.11</v>
      </c>
    </row>
    <row r="54" spans="1:30" ht="13.5" customHeight="1" thickBot="1">
      <c r="A54" s="639"/>
      <c r="B54" s="629"/>
      <c r="C54" s="549"/>
      <c r="D54" s="100" t="s">
        <v>58</v>
      </c>
      <c r="E54" s="627"/>
      <c r="F54" s="549"/>
      <c r="G54" s="533"/>
      <c r="H54" s="529"/>
      <c r="I54" s="649">
        <v>0.08</v>
      </c>
      <c r="J54" s="650"/>
      <c r="K54" s="651"/>
      <c r="L54" s="689"/>
      <c r="M54" s="649">
        <v>0.09</v>
      </c>
      <c r="N54" s="650"/>
      <c r="O54" s="652"/>
      <c r="Q54" s="270"/>
      <c r="R54" s="264">
        <f t="shared" si="6"/>
        <v>0.08</v>
      </c>
      <c r="S54" s="287">
        <f>IF($S$2=30,R54,R53)</f>
        <v>0.08</v>
      </c>
      <c r="T54" s="287">
        <f>IF($T$1&lt;&gt;1,S54,S52)</f>
        <v>0.12</v>
      </c>
      <c r="U54" s="264">
        <f>T54</f>
        <v>0.12</v>
      </c>
      <c r="V54" s="264">
        <f>IF($V$1=2,U54,U50)</f>
        <v>0.14</v>
      </c>
      <c r="Y54" s="270"/>
      <c r="Z54" s="264">
        <f t="shared" si="7"/>
        <v>0.09</v>
      </c>
      <c r="AA54" s="287">
        <f>IF($S$2=30,Z54,Z53)</f>
        <v>0.09</v>
      </c>
      <c r="AB54" s="287">
        <f>IF($T$1&lt;&gt;1,AA54,AA52)</f>
        <v>0.13</v>
      </c>
      <c r="AC54" s="264">
        <f>AB54</f>
        <v>0.13</v>
      </c>
      <c r="AD54" s="264">
        <f>IF($V$1=2,AC54,AC50)</f>
        <v>0.15</v>
      </c>
    </row>
    <row r="55" spans="1:26" ht="13.5" customHeight="1">
      <c r="A55" s="638" t="s">
        <v>85</v>
      </c>
      <c r="B55" s="640" t="s">
        <v>55</v>
      </c>
      <c r="C55" s="556" t="s">
        <v>32</v>
      </c>
      <c r="D55" s="93" t="s">
        <v>56</v>
      </c>
      <c r="E55" s="625" t="s">
        <v>61</v>
      </c>
      <c r="F55" s="556" t="s">
        <v>86</v>
      </c>
      <c r="G55" s="540" t="s">
        <v>36</v>
      </c>
      <c r="H55" s="641" t="s">
        <v>63</v>
      </c>
      <c r="I55" s="643">
        <v>0.14</v>
      </c>
      <c r="J55" s="644"/>
      <c r="K55" s="645"/>
      <c r="L55" s="691">
        <v>6000</v>
      </c>
      <c r="M55" s="643">
        <v>0.15</v>
      </c>
      <c r="N55" s="644"/>
      <c r="O55" s="647"/>
      <c r="Q55" s="112" t="s">
        <v>147</v>
      </c>
      <c r="R55" s="67">
        <f t="shared" si="6"/>
        <v>0.14</v>
      </c>
      <c r="Y55" s="112" t="s">
        <v>147</v>
      </c>
      <c r="Z55" s="67">
        <f t="shared" si="7"/>
        <v>0.15</v>
      </c>
    </row>
    <row r="56" spans="1:27" ht="13.5" customHeight="1">
      <c r="A56" s="638"/>
      <c r="B56" s="640"/>
      <c r="C56" s="557"/>
      <c r="D56" s="96" t="s">
        <v>58</v>
      </c>
      <c r="E56" s="626"/>
      <c r="F56" s="556"/>
      <c r="G56" s="540"/>
      <c r="H56" s="655"/>
      <c r="I56" s="643">
        <v>0.12</v>
      </c>
      <c r="J56" s="644"/>
      <c r="K56" s="645"/>
      <c r="L56" s="693"/>
      <c r="M56" s="615">
        <v>0.13</v>
      </c>
      <c r="N56" s="616"/>
      <c r="O56" s="619"/>
      <c r="Q56" s="269"/>
      <c r="R56" s="262">
        <f t="shared" si="6"/>
        <v>0.12</v>
      </c>
      <c r="S56" s="285">
        <f>IF($S$2=30,R56,R55)</f>
        <v>0.12</v>
      </c>
      <c r="Y56" s="269"/>
      <c r="Z56" s="262">
        <f t="shared" si="7"/>
        <v>0.13</v>
      </c>
      <c r="AA56" s="285">
        <f>IF($S$2=30,Z56,Z55)</f>
        <v>0.13</v>
      </c>
    </row>
    <row r="57" spans="1:26" ht="13.5" customHeight="1">
      <c r="A57" s="638"/>
      <c r="B57" s="640"/>
      <c r="C57" s="548" t="s">
        <v>64</v>
      </c>
      <c r="D57" s="96" t="s">
        <v>56</v>
      </c>
      <c r="E57" s="626"/>
      <c r="F57" s="556"/>
      <c r="G57" s="540"/>
      <c r="H57" s="526" t="s">
        <v>65</v>
      </c>
      <c r="I57" s="643">
        <v>0.1</v>
      </c>
      <c r="J57" s="644"/>
      <c r="K57" s="645"/>
      <c r="L57" s="694">
        <v>200</v>
      </c>
      <c r="M57" s="615">
        <v>0.11</v>
      </c>
      <c r="N57" s="616"/>
      <c r="O57" s="619"/>
      <c r="Q57" s="112" t="s">
        <v>148</v>
      </c>
      <c r="R57" s="67">
        <f t="shared" si="6"/>
        <v>0.1</v>
      </c>
      <c r="Y57" s="112" t="s">
        <v>148</v>
      </c>
      <c r="Z57" s="67">
        <f t="shared" si="7"/>
        <v>0.11</v>
      </c>
    </row>
    <row r="58" spans="1:29" ht="13.5" customHeight="1">
      <c r="A58" s="638"/>
      <c r="B58" s="624"/>
      <c r="C58" s="557"/>
      <c r="D58" s="103" t="s">
        <v>58</v>
      </c>
      <c r="E58" s="626"/>
      <c r="F58" s="556"/>
      <c r="G58" s="540"/>
      <c r="H58" s="528"/>
      <c r="I58" s="643">
        <v>0.08</v>
      </c>
      <c r="J58" s="644"/>
      <c r="K58" s="645"/>
      <c r="L58" s="695"/>
      <c r="M58" s="615">
        <v>0.09</v>
      </c>
      <c r="N58" s="616"/>
      <c r="O58" s="619"/>
      <c r="Q58" s="269"/>
      <c r="R58" s="262">
        <f t="shared" si="6"/>
        <v>0.08</v>
      </c>
      <c r="S58" s="285">
        <f>IF($S$2=30,R58,R57)</f>
        <v>0.08</v>
      </c>
      <c r="T58" s="285">
        <f>IF($T$1&lt;&gt;1,S58,S56)</f>
        <v>0.12</v>
      </c>
      <c r="U58" s="262">
        <f>T58</f>
        <v>0.12</v>
      </c>
      <c r="Y58" s="269"/>
      <c r="Z58" s="262">
        <f t="shared" si="7"/>
        <v>0.09</v>
      </c>
      <c r="AA58" s="285">
        <f>IF($S$2=30,Z58,Z57)</f>
        <v>0.09</v>
      </c>
      <c r="AB58" s="285">
        <f>IF($T$1&lt;&gt;1,AA58,AA56)</f>
        <v>0.13</v>
      </c>
      <c r="AC58" s="262">
        <f>AB58</f>
        <v>0.13</v>
      </c>
    </row>
    <row r="59" spans="1:26" ht="13.5" customHeight="1">
      <c r="A59" s="638"/>
      <c r="B59" s="628" t="s">
        <v>42</v>
      </c>
      <c r="C59" s="548" t="s">
        <v>32</v>
      </c>
      <c r="D59" s="96" t="s">
        <v>56</v>
      </c>
      <c r="E59" s="626"/>
      <c r="F59" s="556"/>
      <c r="G59" s="540"/>
      <c r="H59" s="659" t="s">
        <v>63</v>
      </c>
      <c r="I59" s="643">
        <v>0.12</v>
      </c>
      <c r="J59" s="644"/>
      <c r="K59" s="645"/>
      <c r="L59" s="692">
        <v>6000</v>
      </c>
      <c r="M59" s="615">
        <v>0.13</v>
      </c>
      <c r="N59" s="616"/>
      <c r="O59" s="619"/>
      <c r="Q59" s="112" t="s">
        <v>149</v>
      </c>
      <c r="R59" s="67">
        <f t="shared" si="6"/>
        <v>0.12</v>
      </c>
      <c r="Y59" s="112" t="s">
        <v>149</v>
      </c>
      <c r="Z59" s="67">
        <f t="shared" si="7"/>
        <v>0.13</v>
      </c>
    </row>
    <row r="60" spans="1:27" ht="13.5" customHeight="1">
      <c r="A60" s="638"/>
      <c r="B60" s="640"/>
      <c r="C60" s="557"/>
      <c r="D60" s="96" t="s">
        <v>58</v>
      </c>
      <c r="E60" s="626"/>
      <c r="F60" s="556"/>
      <c r="G60" s="540"/>
      <c r="H60" s="655"/>
      <c r="I60" s="643">
        <v>0.1</v>
      </c>
      <c r="J60" s="644"/>
      <c r="K60" s="645"/>
      <c r="L60" s="693"/>
      <c r="M60" s="615">
        <v>0.11</v>
      </c>
      <c r="N60" s="616"/>
      <c r="O60" s="619"/>
      <c r="Q60" s="269"/>
      <c r="R60" s="262">
        <f t="shared" si="6"/>
        <v>0.1</v>
      </c>
      <c r="S60" s="285">
        <f>IF($S$2=30,R60,R59)</f>
        <v>0.1</v>
      </c>
      <c r="Y60" s="269"/>
      <c r="Z60" s="262">
        <f t="shared" si="7"/>
        <v>0.11</v>
      </c>
      <c r="AA60" s="285">
        <f>IF($S$2=30,Z60,Z59)</f>
        <v>0.11</v>
      </c>
    </row>
    <row r="61" spans="1:26" ht="13.5" customHeight="1">
      <c r="A61" s="638"/>
      <c r="B61" s="640"/>
      <c r="C61" s="548" t="s">
        <v>64</v>
      </c>
      <c r="D61" s="96" t="s">
        <v>56</v>
      </c>
      <c r="E61" s="626"/>
      <c r="F61" s="556"/>
      <c r="G61" s="540"/>
      <c r="H61" s="526" t="s">
        <v>65</v>
      </c>
      <c r="I61" s="643">
        <v>0.08</v>
      </c>
      <c r="J61" s="644"/>
      <c r="K61" s="645"/>
      <c r="L61" s="694">
        <v>200</v>
      </c>
      <c r="M61" s="615">
        <v>0.09</v>
      </c>
      <c r="N61" s="616"/>
      <c r="O61" s="619"/>
      <c r="Q61" s="112" t="s">
        <v>150</v>
      </c>
      <c r="R61" s="67">
        <f t="shared" si="6"/>
        <v>0.08</v>
      </c>
      <c r="Y61" s="112" t="s">
        <v>150</v>
      </c>
      <c r="Z61" s="67">
        <f t="shared" si="7"/>
        <v>0.09</v>
      </c>
    </row>
    <row r="62" spans="1:31" ht="13.5" customHeight="1" thickBot="1">
      <c r="A62" s="639"/>
      <c r="B62" s="629"/>
      <c r="C62" s="549"/>
      <c r="D62" s="100" t="s">
        <v>58</v>
      </c>
      <c r="E62" s="627"/>
      <c r="F62" s="549"/>
      <c r="G62" s="533"/>
      <c r="H62" s="529"/>
      <c r="I62" s="649">
        <v>0.06</v>
      </c>
      <c r="J62" s="650"/>
      <c r="K62" s="651"/>
      <c r="L62" s="689"/>
      <c r="M62" s="649">
        <v>0.07</v>
      </c>
      <c r="N62" s="650"/>
      <c r="O62" s="652"/>
      <c r="Q62" s="270"/>
      <c r="R62" s="264">
        <f t="shared" si="6"/>
        <v>0.06</v>
      </c>
      <c r="S62" s="287">
        <f>IF($S$2=30,R62,R61)</f>
        <v>0.06</v>
      </c>
      <c r="T62" s="287">
        <f>IF($T$1&lt;&gt;1,S62,S60)</f>
        <v>0.1</v>
      </c>
      <c r="U62" s="264">
        <f>T62</f>
        <v>0.1</v>
      </c>
      <c r="V62" s="264">
        <f>IF($V$1=2,U62,U58)</f>
        <v>0.12</v>
      </c>
      <c r="W62" s="292">
        <f>IF(AND($W$1=1,$W$2=1,$W$3=1),V38,IF(AND($W$1=2,$W$2=1,$W$3=1),V14,IF(AND($W$1=1,$W$2=2,$W$3=1),V54,IF(AND($W$1=2,$W$2=2,$W$3=1),V42,IF(AND($W$1=1,$W$2=2,$W$3=4),V62,IF(AND($W$1=2,$W$2=2,$W$3=4),V46,IF($W$1=3,'Базовые модиф. (без страх)'!V66,0)))))))</f>
        <v>0.135</v>
      </c>
      <c r="Y62" s="270"/>
      <c r="Z62" s="264">
        <f t="shared" si="7"/>
        <v>0.07</v>
      </c>
      <c r="AA62" s="287">
        <f>IF($S$2=30,Z62,Z61)</f>
        <v>0.07</v>
      </c>
      <c r="AB62" s="287">
        <f>IF($T$1&lt;&gt;1,AA62,AA60)</f>
        <v>0.11</v>
      </c>
      <c r="AC62" s="264">
        <f>AB62</f>
        <v>0.11</v>
      </c>
      <c r="AD62" s="264">
        <f>IF($V$1=2,AC62,AC58)</f>
        <v>0.13</v>
      </c>
      <c r="AE62" s="292">
        <f>IF(AND($W$1=1,$W$2=1,$W$3=1),AD38,IF(AND($W$1=2,$W$2=1,$W$3=1),AD14,IF(AND($W$1=1,$W$2=2,$W$3=1),AD54,IF(AND($W$1=2,$W$2=2,$W$3=1),AD42,IF(AND($W$1=1,$W$2=2,$W$3=4),AD62,IF(AND($W$1=2,$W$2=2,$W$3=4),AD46,IF($W$1=3,'Базовые модиф. (без страх)'!AD66,0)))))))</f>
        <v>0.14500000000000002</v>
      </c>
    </row>
    <row r="63" spans="17:26" ht="6.75" customHeight="1">
      <c r="Q63" s="112"/>
      <c r="R63" s="67"/>
      <c r="Y63" s="112"/>
      <c r="Z63" s="67"/>
    </row>
    <row r="64" spans="17:29" ht="2.25" customHeight="1">
      <c r="Q64" s="112"/>
      <c r="R64" s="67"/>
      <c r="S64" s="291"/>
      <c r="T64" s="67"/>
      <c r="U64" s="67"/>
      <c r="Y64" s="112"/>
      <c r="Z64" s="67"/>
      <c r="AA64" s="291"/>
      <c r="AB64" s="67"/>
      <c r="AC64" s="67"/>
    </row>
    <row r="65" spans="1:26" ht="13.5" customHeight="1">
      <c r="A65" s="107" t="s">
        <v>70</v>
      </c>
      <c r="B65" s="108"/>
      <c r="Q65" s="112"/>
      <c r="R65" s="67"/>
      <c r="Y65" s="112"/>
      <c r="Z65" s="67"/>
    </row>
    <row r="66" spans="1:30" ht="15.75" customHeight="1">
      <c r="A66" s="107" t="s">
        <v>71</v>
      </c>
      <c r="B66" s="108"/>
      <c r="Q66" s="112"/>
      <c r="R66" s="67"/>
      <c r="S66" s="291"/>
      <c r="T66" s="67"/>
      <c r="U66" s="67"/>
      <c r="V66" s="67"/>
      <c r="Y66" s="112"/>
      <c r="Z66" s="67"/>
      <c r="AA66" s="291"/>
      <c r="AB66" s="67"/>
      <c r="AC66" s="67"/>
      <c r="AD66" s="67"/>
    </row>
    <row r="67" spans="1:15" ht="27" customHeight="1">
      <c r="A67" s="674" t="s">
        <v>72</v>
      </c>
      <c r="B67" s="674"/>
      <c r="C67" s="674"/>
      <c r="D67" s="674"/>
      <c r="E67" s="674"/>
      <c r="F67" s="674"/>
      <c r="G67" s="674"/>
      <c r="H67" s="674"/>
      <c r="I67" s="674"/>
      <c r="J67" s="674"/>
      <c r="K67" s="674"/>
      <c r="L67" s="674"/>
      <c r="M67" s="674"/>
      <c r="N67" s="674"/>
      <c r="O67" s="674"/>
    </row>
    <row r="68" spans="1:2" ht="9.75" customHeight="1">
      <c r="A68" s="110"/>
      <c r="B68" s="108"/>
    </row>
    <row r="69" spans="1:8" ht="54" customHeight="1">
      <c r="A69" s="675" t="s">
        <v>87</v>
      </c>
      <c r="B69" s="676"/>
      <c r="C69" s="676"/>
      <c r="D69" s="676"/>
      <c r="E69" s="676"/>
      <c r="F69" s="676"/>
      <c r="G69" s="676"/>
      <c r="H69" s="113"/>
    </row>
    <row r="70" spans="1:8" ht="6.75" customHeight="1">
      <c r="A70" s="111"/>
      <c r="B70" s="112"/>
      <c r="C70" s="112"/>
      <c r="D70" s="112"/>
      <c r="E70" s="112"/>
      <c r="F70" s="112"/>
      <c r="G70" s="112"/>
      <c r="H70" s="113"/>
    </row>
    <row r="71" spans="1:7" ht="12.75">
      <c r="A71" s="114" t="s">
        <v>74</v>
      </c>
      <c r="B71" s="108"/>
      <c r="C71" s="112"/>
      <c r="D71" s="112"/>
      <c r="E71" s="112"/>
      <c r="F71" s="112"/>
      <c r="G71" s="112"/>
    </row>
    <row r="72" spans="1:2" ht="12.75">
      <c r="A72" s="110" t="s">
        <v>75</v>
      </c>
      <c r="B72" s="108"/>
    </row>
  </sheetData>
  <sheetProtection/>
  <mergeCells count="160">
    <mergeCell ref="A67:O67"/>
    <mergeCell ref="A69:G69"/>
    <mergeCell ref="L61:L62"/>
    <mergeCell ref="M61:O61"/>
    <mergeCell ref="I62:K62"/>
    <mergeCell ref="M62:O62"/>
    <mergeCell ref="F55:F62"/>
    <mergeCell ref="G55:G62"/>
    <mergeCell ref="H55:H56"/>
    <mergeCell ref="H57:H58"/>
    <mergeCell ref="L57:L58"/>
    <mergeCell ref="M57:O57"/>
    <mergeCell ref="I58:K58"/>
    <mergeCell ref="M58:O58"/>
    <mergeCell ref="I57:K57"/>
    <mergeCell ref="L55:L56"/>
    <mergeCell ref="M55:O55"/>
    <mergeCell ref="I56:K56"/>
    <mergeCell ref="M56:O56"/>
    <mergeCell ref="I55:K55"/>
    <mergeCell ref="H59:H60"/>
    <mergeCell ref="I59:K59"/>
    <mergeCell ref="L59:L60"/>
    <mergeCell ref="M59:O59"/>
    <mergeCell ref="I60:K60"/>
    <mergeCell ref="M60:O60"/>
    <mergeCell ref="H61:H62"/>
    <mergeCell ref="I61:K61"/>
    <mergeCell ref="A55:A62"/>
    <mergeCell ref="B55:B58"/>
    <mergeCell ref="C55:C56"/>
    <mergeCell ref="E55:E62"/>
    <mergeCell ref="C57:C58"/>
    <mergeCell ref="B59:B62"/>
    <mergeCell ref="C59:C60"/>
    <mergeCell ref="C61:C62"/>
    <mergeCell ref="L53:L54"/>
    <mergeCell ref="M53:O53"/>
    <mergeCell ref="I54:K54"/>
    <mergeCell ref="M54:O54"/>
    <mergeCell ref="L51:L52"/>
    <mergeCell ref="M51:O51"/>
    <mergeCell ref="I52:K52"/>
    <mergeCell ref="M52:O52"/>
    <mergeCell ref="L49:L50"/>
    <mergeCell ref="M49:O49"/>
    <mergeCell ref="I50:K50"/>
    <mergeCell ref="M50:O50"/>
    <mergeCell ref="L47:L48"/>
    <mergeCell ref="M47:O47"/>
    <mergeCell ref="I48:K48"/>
    <mergeCell ref="M48:O48"/>
    <mergeCell ref="F47:F54"/>
    <mergeCell ref="G47:G54"/>
    <mergeCell ref="H47:H48"/>
    <mergeCell ref="I47:K47"/>
    <mergeCell ref="H49:H50"/>
    <mergeCell ref="I49:K49"/>
    <mergeCell ref="H51:H52"/>
    <mergeCell ref="I51:K51"/>
    <mergeCell ref="H53:H54"/>
    <mergeCell ref="I53:K53"/>
    <mergeCell ref="A47:A54"/>
    <mergeCell ref="B47:B50"/>
    <mergeCell ref="C47:C48"/>
    <mergeCell ref="E47:E54"/>
    <mergeCell ref="C49:C50"/>
    <mergeCell ref="B51:B54"/>
    <mergeCell ref="C51:C52"/>
    <mergeCell ref="C53:C54"/>
    <mergeCell ref="L45:L46"/>
    <mergeCell ref="M45:O45"/>
    <mergeCell ref="I46:K46"/>
    <mergeCell ref="M46:O46"/>
    <mergeCell ref="L43:L44"/>
    <mergeCell ref="M43:O43"/>
    <mergeCell ref="I44:K44"/>
    <mergeCell ref="M44:O44"/>
    <mergeCell ref="F43:F46"/>
    <mergeCell ref="G43:G46"/>
    <mergeCell ref="H43:H46"/>
    <mergeCell ref="I43:K43"/>
    <mergeCell ref="I45:K45"/>
    <mergeCell ref="A43:A46"/>
    <mergeCell ref="B43:B44"/>
    <mergeCell ref="C43:C46"/>
    <mergeCell ref="E43:E46"/>
    <mergeCell ref="B45:B46"/>
    <mergeCell ref="M41:O41"/>
    <mergeCell ref="I42:K42"/>
    <mergeCell ref="M42:O42"/>
    <mergeCell ref="G39:G42"/>
    <mergeCell ref="H39:H42"/>
    <mergeCell ref="A15:A38"/>
    <mergeCell ref="B15:B30"/>
    <mergeCell ref="M39:O39"/>
    <mergeCell ref="I40:K40"/>
    <mergeCell ref="M40:O40"/>
    <mergeCell ref="A39:A42"/>
    <mergeCell ref="B39:B40"/>
    <mergeCell ref="C39:C42"/>
    <mergeCell ref="E39:E42"/>
    <mergeCell ref="B41:B42"/>
    <mergeCell ref="L35:L38"/>
    <mergeCell ref="E36:E38"/>
    <mergeCell ref="I39:K39"/>
    <mergeCell ref="L39:L42"/>
    <mergeCell ref="F36:F38"/>
    <mergeCell ref="F39:F42"/>
    <mergeCell ref="I41:K41"/>
    <mergeCell ref="H27:H30"/>
    <mergeCell ref="L27:L30"/>
    <mergeCell ref="B31:B38"/>
    <mergeCell ref="C31:C34"/>
    <mergeCell ref="H31:H34"/>
    <mergeCell ref="L31:L34"/>
    <mergeCell ref="E32:E34"/>
    <mergeCell ref="F32:F34"/>
    <mergeCell ref="C35:C38"/>
    <mergeCell ref="H35:H38"/>
    <mergeCell ref="C15:C18"/>
    <mergeCell ref="E15:E22"/>
    <mergeCell ref="C19:C22"/>
    <mergeCell ref="C23:C26"/>
    <mergeCell ref="E23:E30"/>
    <mergeCell ref="C27:C30"/>
    <mergeCell ref="L11:L14"/>
    <mergeCell ref="G7:G14"/>
    <mergeCell ref="H7:H14"/>
    <mergeCell ref="F15:F22"/>
    <mergeCell ref="G15:G38"/>
    <mergeCell ref="H15:H18"/>
    <mergeCell ref="L19:L22"/>
    <mergeCell ref="F23:F30"/>
    <mergeCell ref="H23:H26"/>
    <mergeCell ref="L23:L26"/>
    <mergeCell ref="L15:L18"/>
    <mergeCell ref="H19:H22"/>
    <mergeCell ref="A7:A14"/>
    <mergeCell ref="B7:B10"/>
    <mergeCell ref="C7:C14"/>
    <mergeCell ref="E7:E14"/>
    <mergeCell ref="B11:B14"/>
    <mergeCell ref="F7:F10"/>
    <mergeCell ref="L7:L10"/>
    <mergeCell ref="F11:F14"/>
    <mergeCell ref="M1:O1"/>
    <mergeCell ref="A4:A6"/>
    <mergeCell ref="B4:B6"/>
    <mergeCell ref="C4:C6"/>
    <mergeCell ref="D4:D6"/>
    <mergeCell ref="E4:E6"/>
    <mergeCell ref="F4:F6"/>
    <mergeCell ref="G4:G6"/>
    <mergeCell ref="H4:H6"/>
    <mergeCell ref="I4:L4"/>
    <mergeCell ref="M4:O4"/>
    <mergeCell ref="I5:K5"/>
    <mergeCell ref="L5:L6"/>
    <mergeCell ref="M5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1:AE175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4.875" style="68" customWidth="1"/>
    <col min="2" max="2" width="12.125" style="69" customWidth="1"/>
    <col min="3" max="3" width="10.375" style="70" customWidth="1"/>
    <col min="4" max="4" width="13.375" style="70" customWidth="1"/>
    <col min="5" max="5" width="14.375" style="71" customWidth="1"/>
    <col min="6" max="6" width="49.375" style="70" customWidth="1"/>
    <col min="7" max="7" width="13.875" style="70" hidden="1" customWidth="1"/>
    <col min="8" max="8" width="12.375" style="71" hidden="1" customWidth="1"/>
    <col min="9" max="9" width="12.375" style="71" customWidth="1"/>
    <col min="10" max="10" width="16.00390625" style="70" customWidth="1"/>
    <col min="11" max="11" width="16.00390625" style="67" customWidth="1"/>
    <col min="12" max="13" width="16.00390625" style="70" customWidth="1"/>
    <col min="14" max="15" width="19.375" style="70" customWidth="1"/>
    <col min="16" max="16" width="5.375" style="70" customWidth="1"/>
    <col min="17" max="21" width="9.00390625" style="70" customWidth="1"/>
    <col min="22" max="22" width="10.125" style="70" customWidth="1"/>
    <col min="23" max="29" width="9.00390625" style="70" customWidth="1"/>
    <col min="30" max="30" width="11.00390625" style="70" customWidth="1"/>
    <col min="31" max="16384" width="9.00390625" style="70" customWidth="1"/>
  </cols>
  <sheetData>
    <row r="1" spans="14:24" ht="78.75" customHeight="1">
      <c r="N1" s="76"/>
      <c r="O1" s="76"/>
      <c r="Q1" s="70">
        <f>РАСЧЕТ!F36</f>
        <v>10</v>
      </c>
      <c r="R1" s="70">
        <f>РАСЧЕТ!D29</f>
        <v>36</v>
      </c>
      <c r="S1" s="573">
        <f>IF(AND(W1=1,W3=6,Q1&lt;40),0,IF(AND(W1=1,W3=6,Q1&gt;=40),40,IF(Q1&lt;IF(AND(W2=1,OR(W3=2,W3=3,W3=8,W3=9,W3=11,W3=12)),15,10),0,IF(AND(Q1&gt;=IF(AND(W2=1,OR(W3=2,W3=3,W3=8,W3=9,W3=11,W3=12)),15,10),Q1&lt;20),IF(AND(W2=1,OR(W3=2,W3=3,W3=8,W3=9,W3=11,W3=12)),15,10),R2))))</f>
        <v>10</v>
      </c>
      <c r="T1" s="70">
        <f>РАСЧЕТ!Z2</f>
        <v>1</v>
      </c>
      <c r="U1" s="70" t="str">
        <f>РАСЧЕТ!D27</f>
        <v>да</v>
      </c>
      <c r="V1" s="70">
        <f>РАСЧЕТ!AW2</f>
        <v>1</v>
      </c>
      <c r="W1" s="70">
        <f>РАСЧЕТ!AM2</f>
        <v>1</v>
      </c>
      <c r="X1" s="110" t="str">
        <f>IF(W1=1,"АВТОСТАТУС",IF(W1=2,"АВТОЭКСПРЕСС-КРЕДИТ",IF(W1=3,"АЭК БЕЗ СТРАХОВКИ","")))</f>
        <v>АВТОСТАТУС</v>
      </c>
    </row>
    <row r="2" spans="1:24" s="77" customFormat="1" ht="16.5" thickBot="1">
      <c r="A2" s="74" t="s">
        <v>262</v>
      </c>
      <c r="B2" s="75"/>
      <c r="C2" s="75"/>
      <c r="D2" s="75"/>
      <c r="E2" s="75"/>
      <c r="F2" s="75"/>
      <c r="G2" s="75"/>
      <c r="H2" s="75"/>
      <c r="I2" s="75"/>
      <c r="J2" s="76"/>
      <c r="K2" s="76"/>
      <c r="L2" s="76"/>
      <c r="M2" s="76"/>
      <c r="N2" s="76"/>
      <c r="O2" s="76"/>
      <c r="Q2" s="70"/>
      <c r="R2" s="70">
        <f>IF(AND(Q1&gt;=IF(AND(W2=1,OR(W3=2,W3=3,W3=8,W3=9,W3=11,W3=12)),15,20),Q1&lt;30),IF(AND(W2=1,OR(W3=2,W3=3,W3=8,W3=9,W3=11,W3=12)),15,20),S2)</f>
        <v>50</v>
      </c>
      <c r="S2" s="70">
        <f>IF(AND(Q1&gt;=30,Q1&lt;50),30,50)</f>
        <v>50</v>
      </c>
      <c r="T2" s="70"/>
      <c r="U2" s="70"/>
      <c r="V2" s="70"/>
      <c r="W2" s="70">
        <f>РАСЧЕТ!AH2</f>
        <v>1</v>
      </c>
      <c r="X2" s="110" t="str">
        <f>IF(W2=2,"ПОДЕРЖАННЫЕ","НОВЫЕ")</f>
        <v>НОВЫЕ</v>
      </c>
    </row>
    <row r="3" spans="1:24" s="77" customFormat="1" ht="22.5" customHeight="1">
      <c r="A3" s="610" t="s">
        <v>20</v>
      </c>
      <c r="B3" s="577" t="s">
        <v>21</v>
      </c>
      <c r="C3" s="577" t="s">
        <v>13</v>
      </c>
      <c r="D3" s="806" t="s">
        <v>88</v>
      </c>
      <c r="E3" s="577" t="s">
        <v>23</v>
      </c>
      <c r="F3" s="818" t="s">
        <v>24</v>
      </c>
      <c r="G3" s="577" t="s">
        <v>89</v>
      </c>
      <c r="H3" s="806" t="s">
        <v>26</v>
      </c>
      <c r="I3" s="797" t="s">
        <v>260</v>
      </c>
      <c r="J3" s="798"/>
      <c r="K3" s="798"/>
      <c r="L3" s="799"/>
      <c r="M3" s="600" t="s">
        <v>261</v>
      </c>
      <c r="N3" s="601"/>
      <c r="O3" s="602"/>
      <c r="W3" s="70">
        <f>РАСЧЕТ!AR2</f>
        <v>1</v>
      </c>
      <c r="X3" s="303" t="str">
        <f>LOOKUP(W3,РАСЧЕТ!AN2:AN13,РАСЧЕТ!AO2:AO13)</f>
        <v>БАЗОВАЯ</v>
      </c>
    </row>
    <row r="4" spans="1:25" s="77" customFormat="1" ht="24" customHeight="1">
      <c r="A4" s="611"/>
      <c r="B4" s="578"/>
      <c r="C4" s="578"/>
      <c r="D4" s="807"/>
      <c r="E4" s="578"/>
      <c r="F4" s="819"/>
      <c r="G4" s="578"/>
      <c r="H4" s="807"/>
      <c r="I4" s="809" t="s">
        <v>27</v>
      </c>
      <c r="J4" s="810"/>
      <c r="K4" s="810"/>
      <c r="L4" s="811" t="s">
        <v>28</v>
      </c>
      <c r="M4" s="809" t="s">
        <v>27</v>
      </c>
      <c r="N4" s="810"/>
      <c r="O4" s="811"/>
      <c r="Q4" s="77" t="s">
        <v>159</v>
      </c>
      <c r="Y4" s="77" t="s">
        <v>160</v>
      </c>
    </row>
    <row r="5" spans="1:31" s="77" customFormat="1" ht="39" thickBot="1">
      <c r="A5" s="612"/>
      <c r="B5" s="579"/>
      <c r="C5" s="579"/>
      <c r="D5" s="808"/>
      <c r="E5" s="579"/>
      <c r="F5" s="820"/>
      <c r="G5" s="579"/>
      <c r="H5" s="808"/>
      <c r="I5" s="429" t="s">
        <v>234</v>
      </c>
      <c r="J5" s="384" t="s">
        <v>256</v>
      </c>
      <c r="K5" s="384" t="s">
        <v>90</v>
      </c>
      <c r="L5" s="811"/>
      <c r="M5" s="572" t="s">
        <v>234</v>
      </c>
      <c r="N5" s="567" t="s">
        <v>256</v>
      </c>
      <c r="O5" s="80" t="s">
        <v>90</v>
      </c>
      <c r="Q5" s="280"/>
      <c r="R5" s="281" t="s">
        <v>7</v>
      </c>
      <c r="S5" s="281" t="s">
        <v>154</v>
      </c>
      <c r="T5" s="281" t="s">
        <v>158</v>
      </c>
      <c r="U5" s="281" t="s">
        <v>155</v>
      </c>
      <c r="V5" s="281" t="s">
        <v>156</v>
      </c>
      <c r="W5" s="281" t="s">
        <v>157</v>
      </c>
      <c r="Y5" s="280"/>
      <c r="Z5" s="281" t="s">
        <v>7</v>
      </c>
      <c r="AA5" s="281" t="s">
        <v>154</v>
      </c>
      <c r="AB5" s="281" t="s">
        <v>158</v>
      </c>
      <c r="AC5" s="281" t="s">
        <v>155</v>
      </c>
      <c r="AD5" s="281" t="s">
        <v>156</v>
      </c>
      <c r="AE5" s="281" t="s">
        <v>157</v>
      </c>
    </row>
    <row r="6" spans="1:15" s="83" customFormat="1" ht="13.5" customHeight="1" hidden="1">
      <c r="A6" s="552" t="s">
        <v>30</v>
      </c>
      <c r="B6" s="555" t="s">
        <v>31</v>
      </c>
      <c r="C6" s="545" t="s">
        <v>32</v>
      </c>
      <c r="D6" s="118" t="s">
        <v>33</v>
      </c>
      <c r="E6" s="555" t="s">
        <v>34</v>
      </c>
      <c r="F6" s="833" t="s">
        <v>35</v>
      </c>
      <c r="G6" s="544" t="s">
        <v>36</v>
      </c>
      <c r="H6" s="839" t="s">
        <v>37</v>
      </c>
      <c r="I6" s="430"/>
      <c r="J6" s="382">
        <v>0.19</v>
      </c>
      <c r="K6" s="383">
        <v>0.2</v>
      </c>
      <c r="L6" s="534" t="s">
        <v>38</v>
      </c>
      <c r="M6" s="341"/>
      <c r="N6" s="92">
        <f>J6+1%</f>
        <v>0.2</v>
      </c>
      <c r="O6" s="94">
        <f>K6+1%</f>
        <v>0.21000000000000002</v>
      </c>
    </row>
    <row r="7" spans="1:15" s="83" customFormat="1" ht="13.5" customHeight="1" hidden="1">
      <c r="A7" s="553"/>
      <c r="B7" s="556"/>
      <c r="C7" s="546"/>
      <c r="D7" s="119" t="s">
        <v>39</v>
      </c>
      <c r="E7" s="556"/>
      <c r="F7" s="834"/>
      <c r="G7" s="535"/>
      <c r="H7" s="840"/>
      <c r="I7" s="430"/>
      <c r="J7" s="117">
        <v>0.18</v>
      </c>
      <c r="K7" s="87">
        <v>0.19</v>
      </c>
      <c r="L7" s="534"/>
      <c r="M7" s="341"/>
      <c r="N7" s="95">
        <f aca="true" t="shared" si="0" ref="N7:O35">J7+1%</f>
        <v>0.19</v>
      </c>
      <c r="O7" s="86">
        <f t="shared" si="0"/>
        <v>0.2</v>
      </c>
    </row>
    <row r="8" spans="1:15" s="83" customFormat="1" ht="13.5" customHeight="1" hidden="1">
      <c r="A8" s="553"/>
      <c r="B8" s="556"/>
      <c r="C8" s="546"/>
      <c r="D8" s="119" t="s">
        <v>40</v>
      </c>
      <c r="E8" s="556"/>
      <c r="F8" s="834"/>
      <c r="G8" s="535"/>
      <c r="H8" s="840"/>
      <c r="I8" s="430"/>
      <c r="J8" s="117">
        <v>0.17</v>
      </c>
      <c r="K8" s="87">
        <v>0.18</v>
      </c>
      <c r="L8" s="534"/>
      <c r="M8" s="341"/>
      <c r="N8" s="95">
        <f t="shared" si="0"/>
        <v>0.18000000000000002</v>
      </c>
      <c r="O8" s="86">
        <f t="shared" si="0"/>
        <v>0.19</v>
      </c>
    </row>
    <row r="9" spans="1:15" s="83" customFormat="1" ht="13.5" customHeight="1" hidden="1">
      <c r="A9" s="553"/>
      <c r="B9" s="557"/>
      <c r="C9" s="546"/>
      <c r="D9" s="120" t="s">
        <v>41</v>
      </c>
      <c r="E9" s="556"/>
      <c r="F9" s="835"/>
      <c r="G9" s="535"/>
      <c r="H9" s="840"/>
      <c r="I9" s="430"/>
      <c r="J9" s="117">
        <v>0.16</v>
      </c>
      <c r="K9" s="87">
        <v>0.17</v>
      </c>
      <c r="L9" s="531"/>
      <c r="M9" s="370"/>
      <c r="N9" s="95">
        <f t="shared" si="0"/>
        <v>0.17</v>
      </c>
      <c r="O9" s="86">
        <f t="shared" si="0"/>
        <v>0.18000000000000002</v>
      </c>
    </row>
    <row r="10" spans="1:15" s="83" customFormat="1" ht="13.5" customHeight="1" hidden="1">
      <c r="A10" s="553"/>
      <c r="B10" s="548" t="s">
        <v>42</v>
      </c>
      <c r="C10" s="546"/>
      <c r="D10" s="119" t="s">
        <v>33</v>
      </c>
      <c r="E10" s="556"/>
      <c r="F10" s="836" t="s">
        <v>35</v>
      </c>
      <c r="G10" s="535"/>
      <c r="H10" s="840"/>
      <c r="I10" s="430"/>
      <c r="J10" s="117">
        <f aca="true" t="shared" si="1" ref="J10:K13">J6-2%</f>
        <v>0.17</v>
      </c>
      <c r="K10" s="87">
        <f>K6-2%</f>
        <v>0.18000000000000002</v>
      </c>
      <c r="L10" s="837" t="s">
        <v>38</v>
      </c>
      <c r="M10" s="340"/>
      <c r="N10" s="95">
        <f t="shared" si="0"/>
        <v>0.18000000000000002</v>
      </c>
      <c r="O10" s="86">
        <f t="shared" si="0"/>
        <v>0.19000000000000003</v>
      </c>
    </row>
    <row r="11" spans="1:15" s="83" customFormat="1" ht="13.5" customHeight="1" hidden="1">
      <c r="A11" s="553"/>
      <c r="B11" s="556"/>
      <c r="C11" s="546"/>
      <c r="D11" s="119" t="s">
        <v>39</v>
      </c>
      <c r="E11" s="556"/>
      <c r="F11" s="834"/>
      <c r="G11" s="535"/>
      <c r="H11" s="840"/>
      <c r="I11" s="430"/>
      <c r="J11" s="117">
        <f t="shared" si="1"/>
        <v>0.16</v>
      </c>
      <c r="K11" s="87">
        <f t="shared" si="1"/>
        <v>0.17</v>
      </c>
      <c r="L11" s="534"/>
      <c r="M11" s="341"/>
      <c r="N11" s="95">
        <f t="shared" si="0"/>
        <v>0.17</v>
      </c>
      <c r="O11" s="86">
        <f t="shared" si="0"/>
        <v>0.18000000000000002</v>
      </c>
    </row>
    <row r="12" spans="1:15" s="83" customFormat="1" ht="13.5" customHeight="1" hidden="1">
      <c r="A12" s="553"/>
      <c r="B12" s="556"/>
      <c r="C12" s="546"/>
      <c r="D12" s="119" t="s">
        <v>40</v>
      </c>
      <c r="E12" s="556"/>
      <c r="F12" s="834"/>
      <c r="G12" s="535"/>
      <c r="H12" s="840"/>
      <c r="I12" s="430"/>
      <c r="J12" s="117">
        <f t="shared" si="1"/>
        <v>0.15000000000000002</v>
      </c>
      <c r="K12" s="87">
        <f t="shared" si="1"/>
        <v>0.16</v>
      </c>
      <c r="L12" s="534"/>
      <c r="M12" s="341"/>
      <c r="N12" s="95">
        <f t="shared" si="0"/>
        <v>0.16000000000000003</v>
      </c>
      <c r="O12" s="86">
        <f t="shared" si="0"/>
        <v>0.17</v>
      </c>
    </row>
    <row r="13" spans="1:15" s="83" customFormat="1" ht="13.5" customHeight="1" hidden="1">
      <c r="A13" s="830"/>
      <c r="B13" s="557"/>
      <c r="C13" s="550"/>
      <c r="D13" s="119" t="s">
        <v>41</v>
      </c>
      <c r="E13" s="557"/>
      <c r="F13" s="835"/>
      <c r="G13" s="838"/>
      <c r="H13" s="841"/>
      <c r="I13" s="431"/>
      <c r="J13" s="117">
        <f t="shared" si="1"/>
        <v>0.14</v>
      </c>
      <c r="K13" s="87">
        <f t="shared" si="1"/>
        <v>0.15000000000000002</v>
      </c>
      <c r="L13" s="531"/>
      <c r="M13" s="370"/>
      <c r="N13" s="95">
        <f t="shared" si="0"/>
        <v>0.15000000000000002</v>
      </c>
      <c r="O13" s="86">
        <f t="shared" si="0"/>
        <v>0.16000000000000003</v>
      </c>
    </row>
    <row r="14" spans="1:15" s="83" customFormat="1" ht="13.5" customHeight="1" hidden="1">
      <c r="A14" s="553" t="s">
        <v>43</v>
      </c>
      <c r="B14" s="556" t="s">
        <v>31</v>
      </c>
      <c r="C14" s="546" t="s">
        <v>32</v>
      </c>
      <c r="D14" s="121" t="s">
        <v>39</v>
      </c>
      <c r="E14" s="541" t="s">
        <v>91</v>
      </c>
      <c r="F14" s="672" t="s">
        <v>35</v>
      </c>
      <c r="G14" s="540" t="s">
        <v>36</v>
      </c>
      <c r="H14" s="849" t="s">
        <v>45</v>
      </c>
      <c r="I14" s="432"/>
      <c r="J14" s="92">
        <v>0.16</v>
      </c>
      <c r="K14" s="93">
        <v>0.17</v>
      </c>
      <c r="L14" s="534" t="s">
        <v>38</v>
      </c>
      <c r="M14" s="341"/>
      <c r="N14" s="92">
        <f t="shared" si="0"/>
        <v>0.17</v>
      </c>
      <c r="O14" s="94">
        <f t="shared" si="0"/>
        <v>0.18000000000000002</v>
      </c>
    </row>
    <row r="15" spans="1:15" s="83" customFormat="1" ht="13.5" customHeight="1" hidden="1">
      <c r="A15" s="553"/>
      <c r="B15" s="556"/>
      <c r="C15" s="546"/>
      <c r="D15" s="119" t="s">
        <v>40</v>
      </c>
      <c r="E15" s="546"/>
      <c r="F15" s="672"/>
      <c r="G15" s="540"/>
      <c r="H15" s="849"/>
      <c r="I15" s="432"/>
      <c r="J15" s="95">
        <v>0.15</v>
      </c>
      <c r="K15" s="96">
        <v>0.16</v>
      </c>
      <c r="L15" s="534"/>
      <c r="M15" s="341"/>
      <c r="N15" s="95">
        <f t="shared" si="0"/>
        <v>0.16</v>
      </c>
      <c r="O15" s="86">
        <f t="shared" si="0"/>
        <v>0.17</v>
      </c>
    </row>
    <row r="16" spans="1:15" s="83" customFormat="1" ht="13.5" customHeight="1" hidden="1">
      <c r="A16" s="553"/>
      <c r="B16" s="556"/>
      <c r="C16" s="550"/>
      <c r="D16" s="119" t="s">
        <v>41</v>
      </c>
      <c r="E16" s="546"/>
      <c r="F16" s="672"/>
      <c r="G16" s="540"/>
      <c r="H16" s="850"/>
      <c r="I16" s="433"/>
      <c r="J16" s="95">
        <v>0.14</v>
      </c>
      <c r="K16" s="96">
        <v>0.15</v>
      </c>
      <c r="L16" s="531"/>
      <c r="M16" s="370"/>
      <c r="N16" s="95">
        <f t="shared" si="0"/>
        <v>0.15000000000000002</v>
      </c>
      <c r="O16" s="86">
        <f t="shared" si="0"/>
        <v>0.16</v>
      </c>
    </row>
    <row r="17" spans="1:15" s="83" customFormat="1" ht="13.5" customHeight="1" hidden="1">
      <c r="A17" s="553"/>
      <c r="B17" s="556"/>
      <c r="C17" s="541" t="s">
        <v>46</v>
      </c>
      <c r="D17" s="119" t="s">
        <v>39</v>
      </c>
      <c r="E17" s="546"/>
      <c r="F17" s="672"/>
      <c r="G17" s="540"/>
      <c r="H17" s="842" t="s">
        <v>47</v>
      </c>
      <c r="I17" s="434"/>
      <c r="J17" s="95">
        <f aca="true" t="shared" si="2" ref="J17:K19">J14-3%</f>
        <v>0.13</v>
      </c>
      <c r="K17" s="96">
        <f t="shared" si="2"/>
        <v>0.14</v>
      </c>
      <c r="L17" s="837" t="s">
        <v>48</v>
      </c>
      <c r="M17" s="340"/>
      <c r="N17" s="95">
        <f t="shared" si="0"/>
        <v>0.14</v>
      </c>
      <c r="O17" s="86">
        <f t="shared" si="0"/>
        <v>0.15000000000000002</v>
      </c>
    </row>
    <row r="18" spans="1:15" s="83" customFormat="1" ht="13.5" customHeight="1" hidden="1">
      <c r="A18" s="553"/>
      <c r="B18" s="556"/>
      <c r="C18" s="546"/>
      <c r="D18" s="119" t="s">
        <v>40</v>
      </c>
      <c r="E18" s="546"/>
      <c r="F18" s="672"/>
      <c r="G18" s="540"/>
      <c r="H18" s="843"/>
      <c r="I18" s="435"/>
      <c r="J18" s="95">
        <f t="shared" si="2"/>
        <v>0.12</v>
      </c>
      <c r="K18" s="96">
        <f t="shared" si="2"/>
        <v>0.13</v>
      </c>
      <c r="L18" s="534"/>
      <c r="M18" s="341"/>
      <c r="N18" s="95">
        <f t="shared" si="0"/>
        <v>0.13</v>
      </c>
      <c r="O18" s="86">
        <f t="shared" si="0"/>
        <v>0.14</v>
      </c>
    </row>
    <row r="19" spans="1:15" s="83" customFormat="1" ht="13.5" customHeight="1" hidden="1">
      <c r="A19" s="553"/>
      <c r="B19" s="556"/>
      <c r="C19" s="550"/>
      <c r="D19" s="120" t="s">
        <v>41</v>
      </c>
      <c r="E19" s="550"/>
      <c r="F19" s="831"/>
      <c r="G19" s="540"/>
      <c r="H19" s="844"/>
      <c r="I19" s="436"/>
      <c r="J19" s="95">
        <f t="shared" si="2"/>
        <v>0.11000000000000001</v>
      </c>
      <c r="K19" s="96">
        <f t="shared" si="2"/>
        <v>0.12</v>
      </c>
      <c r="L19" s="531"/>
      <c r="M19" s="370"/>
      <c r="N19" s="95">
        <f t="shared" si="0"/>
        <v>0.12000000000000001</v>
      </c>
      <c r="O19" s="86">
        <f t="shared" si="0"/>
        <v>0.13</v>
      </c>
    </row>
    <row r="20" spans="1:15" s="97" customFormat="1" ht="13.5" customHeight="1" hidden="1">
      <c r="A20" s="553"/>
      <c r="B20" s="556"/>
      <c r="C20" s="541" t="s">
        <v>32</v>
      </c>
      <c r="D20" s="119" t="s">
        <v>33</v>
      </c>
      <c r="E20" s="541" t="s">
        <v>34</v>
      </c>
      <c r="F20" s="836" t="s">
        <v>49</v>
      </c>
      <c r="G20" s="540"/>
      <c r="H20" s="845" t="s">
        <v>50</v>
      </c>
      <c r="I20" s="437"/>
      <c r="J20" s="95">
        <v>0.165</v>
      </c>
      <c r="K20" s="96">
        <v>0.175</v>
      </c>
      <c r="L20" s="837" t="s">
        <v>38</v>
      </c>
      <c r="M20" s="340"/>
      <c r="N20" s="95">
        <f t="shared" si="0"/>
        <v>0.17500000000000002</v>
      </c>
      <c r="O20" s="86">
        <f t="shared" si="0"/>
        <v>0.185</v>
      </c>
    </row>
    <row r="21" spans="1:15" s="97" customFormat="1" ht="13.5" customHeight="1" hidden="1">
      <c r="A21" s="553"/>
      <c r="B21" s="556"/>
      <c r="C21" s="546"/>
      <c r="D21" s="119" t="s">
        <v>39</v>
      </c>
      <c r="E21" s="546"/>
      <c r="F21" s="834"/>
      <c r="G21" s="540"/>
      <c r="H21" s="840"/>
      <c r="I21" s="430"/>
      <c r="J21" s="95">
        <v>0.14</v>
      </c>
      <c r="K21" s="96">
        <v>0.15</v>
      </c>
      <c r="L21" s="534"/>
      <c r="M21" s="341"/>
      <c r="N21" s="95">
        <f t="shared" si="0"/>
        <v>0.15000000000000002</v>
      </c>
      <c r="O21" s="86">
        <f t="shared" si="0"/>
        <v>0.16</v>
      </c>
    </row>
    <row r="22" spans="1:15" s="97" customFormat="1" ht="13.5" customHeight="1" hidden="1">
      <c r="A22" s="553"/>
      <c r="B22" s="556"/>
      <c r="C22" s="546"/>
      <c r="D22" s="119" t="s">
        <v>40</v>
      </c>
      <c r="E22" s="546"/>
      <c r="F22" s="834"/>
      <c r="G22" s="540"/>
      <c r="H22" s="840"/>
      <c r="I22" s="430"/>
      <c r="J22" s="95">
        <v>0.135</v>
      </c>
      <c r="K22" s="96">
        <v>0.145</v>
      </c>
      <c r="L22" s="534"/>
      <c r="M22" s="341"/>
      <c r="N22" s="95">
        <f t="shared" si="0"/>
        <v>0.14500000000000002</v>
      </c>
      <c r="O22" s="86">
        <f t="shared" si="0"/>
        <v>0.155</v>
      </c>
    </row>
    <row r="23" spans="1:15" s="97" customFormat="1" ht="13.5" customHeight="1" hidden="1">
      <c r="A23" s="553"/>
      <c r="B23" s="556"/>
      <c r="C23" s="550"/>
      <c r="D23" s="119" t="s">
        <v>41</v>
      </c>
      <c r="E23" s="546"/>
      <c r="F23" s="834"/>
      <c r="G23" s="540"/>
      <c r="H23" s="841"/>
      <c r="I23" s="431"/>
      <c r="J23" s="95">
        <v>0.13</v>
      </c>
      <c r="K23" s="96">
        <v>0.14</v>
      </c>
      <c r="L23" s="531"/>
      <c r="M23" s="370"/>
      <c r="N23" s="95">
        <f t="shared" si="0"/>
        <v>0.14</v>
      </c>
      <c r="O23" s="86">
        <f t="shared" si="0"/>
        <v>0.15000000000000002</v>
      </c>
    </row>
    <row r="24" spans="1:15" s="97" customFormat="1" ht="13.5" customHeight="1" hidden="1">
      <c r="A24" s="553"/>
      <c r="B24" s="556"/>
      <c r="C24" s="541" t="s">
        <v>46</v>
      </c>
      <c r="D24" s="119" t="s">
        <v>33</v>
      </c>
      <c r="E24" s="546"/>
      <c r="F24" s="834"/>
      <c r="G24" s="540"/>
      <c r="H24" s="846" t="s">
        <v>51</v>
      </c>
      <c r="I24" s="438"/>
      <c r="J24" s="95">
        <f aca="true" t="shared" si="3" ref="J24:K27">J20-3%</f>
        <v>0.135</v>
      </c>
      <c r="K24" s="96">
        <f t="shared" si="3"/>
        <v>0.145</v>
      </c>
      <c r="L24" s="837" t="s">
        <v>48</v>
      </c>
      <c r="M24" s="340"/>
      <c r="N24" s="95">
        <f t="shared" si="0"/>
        <v>0.14500000000000002</v>
      </c>
      <c r="O24" s="86">
        <f t="shared" si="0"/>
        <v>0.155</v>
      </c>
    </row>
    <row r="25" spans="1:15" s="97" customFormat="1" ht="13.5" customHeight="1" hidden="1">
      <c r="A25" s="553"/>
      <c r="B25" s="556"/>
      <c r="C25" s="546"/>
      <c r="D25" s="119" t="s">
        <v>39</v>
      </c>
      <c r="E25" s="546"/>
      <c r="F25" s="834"/>
      <c r="G25" s="540"/>
      <c r="H25" s="847"/>
      <c r="I25" s="439"/>
      <c r="J25" s="95">
        <f t="shared" si="3"/>
        <v>0.11000000000000001</v>
      </c>
      <c r="K25" s="96">
        <f t="shared" si="3"/>
        <v>0.12</v>
      </c>
      <c r="L25" s="534"/>
      <c r="M25" s="341"/>
      <c r="N25" s="95">
        <f t="shared" si="0"/>
        <v>0.12000000000000001</v>
      </c>
      <c r="O25" s="86">
        <f t="shared" si="0"/>
        <v>0.13</v>
      </c>
    </row>
    <row r="26" spans="1:15" s="97" customFormat="1" ht="13.5" customHeight="1" hidden="1">
      <c r="A26" s="553"/>
      <c r="B26" s="556"/>
      <c r="C26" s="546"/>
      <c r="D26" s="119" t="s">
        <v>40</v>
      </c>
      <c r="E26" s="546"/>
      <c r="F26" s="834"/>
      <c r="G26" s="540"/>
      <c r="H26" s="847"/>
      <c r="I26" s="439"/>
      <c r="J26" s="95">
        <f t="shared" si="3"/>
        <v>0.10500000000000001</v>
      </c>
      <c r="K26" s="96">
        <f t="shared" si="3"/>
        <v>0.11499999999999999</v>
      </c>
      <c r="L26" s="534"/>
      <c r="M26" s="341"/>
      <c r="N26" s="95">
        <f t="shared" si="0"/>
        <v>0.115</v>
      </c>
      <c r="O26" s="86">
        <f t="shared" si="0"/>
        <v>0.12499999999999999</v>
      </c>
    </row>
    <row r="27" spans="1:15" s="97" customFormat="1" ht="13.5" customHeight="1" hidden="1">
      <c r="A27" s="553"/>
      <c r="B27" s="557"/>
      <c r="C27" s="550"/>
      <c r="D27" s="119" t="s">
        <v>41</v>
      </c>
      <c r="E27" s="550"/>
      <c r="F27" s="835"/>
      <c r="G27" s="540"/>
      <c r="H27" s="848"/>
      <c r="I27" s="440"/>
      <c r="J27" s="95">
        <f t="shared" si="3"/>
        <v>0.1</v>
      </c>
      <c r="K27" s="96">
        <f t="shared" si="3"/>
        <v>0.11000000000000001</v>
      </c>
      <c r="L27" s="531"/>
      <c r="M27" s="370"/>
      <c r="N27" s="95">
        <f t="shared" si="0"/>
        <v>0.11</v>
      </c>
      <c r="O27" s="86">
        <f t="shared" si="0"/>
        <v>0.12000000000000001</v>
      </c>
    </row>
    <row r="28" spans="1:15" s="97" customFormat="1" ht="13.5" customHeight="1" hidden="1">
      <c r="A28" s="553"/>
      <c r="B28" s="548" t="s">
        <v>42</v>
      </c>
      <c r="C28" s="541" t="s">
        <v>32</v>
      </c>
      <c r="D28" s="119" t="s">
        <v>33</v>
      </c>
      <c r="E28" s="88" t="s">
        <v>34</v>
      </c>
      <c r="F28" s="122" t="s">
        <v>49</v>
      </c>
      <c r="G28" s="540"/>
      <c r="H28" s="845" t="s">
        <v>50</v>
      </c>
      <c r="I28" s="437"/>
      <c r="J28" s="95">
        <f>J20-2%</f>
        <v>0.14500000000000002</v>
      </c>
      <c r="K28" s="96">
        <f>K20-2%</f>
        <v>0.155</v>
      </c>
      <c r="L28" s="837" t="s">
        <v>38</v>
      </c>
      <c r="M28" s="340"/>
      <c r="N28" s="95">
        <f t="shared" si="0"/>
        <v>0.15500000000000003</v>
      </c>
      <c r="O28" s="86">
        <f t="shared" si="0"/>
        <v>0.165</v>
      </c>
    </row>
    <row r="29" spans="1:15" s="97" customFormat="1" ht="13.5" customHeight="1" hidden="1">
      <c r="A29" s="553"/>
      <c r="B29" s="556"/>
      <c r="C29" s="546"/>
      <c r="D29" s="119" t="s">
        <v>39</v>
      </c>
      <c r="E29" s="541" t="s">
        <v>91</v>
      </c>
      <c r="F29" s="832" t="s">
        <v>79</v>
      </c>
      <c r="G29" s="540"/>
      <c r="H29" s="840"/>
      <c r="I29" s="430"/>
      <c r="J29" s="95">
        <f aca="true" t="shared" si="4" ref="J29:K31">J21-1%</f>
        <v>0.13</v>
      </c>
      <c r="K29" s="96">
        <f t="shared" si="4"/>
        <v>0.13999999999999999</v>
      </c>
      <c r="L29" s="534"/>
      <c r="M29" s="341"/>
      <c r="N29" s="95">
        <f t="shared" si="0"/>
        <v>0.14</v>
      </c>
      <c r="O29" s="86">
        <f t="shared" si="0"/>
        <v>0.15</v>
      </c>
    </row>
    <row r="30" spans="1:15" s="97" customFormat="1" ht="13.5" customHeight="1" hidden="1">
      <c r="A30" s="553"/>
      <c r="B30" s="556"/>
      <c r="C30" s="546"/>
      <c r="D30" s="119" t="s">
        <v>40</v>
      </c>
      <c r="E30" s="546"/>
      <c r="F30" s="672"/>
      <c r="G30" s="540"/>
      <c r="H30" s="840"/>
      <c r="I30" s="430"/>
      <c r="J30" s="95">
        <f t="shared" si="4"/>
        <v>0.125</v>
      </c>
      <c r="K30" s="96">
        <f t="shared" si="4"/>
        <v>0.13499999999999998</v>
      </c>
      <c r="L30" s="534"/>
      <c r="M30" s="341"/>
      <c r="N30" s="95">
        <f t="shared" si="0"/>
        <v>0.135</v>
      </c>
      <c r="O30" s="86">
        <f t="shared" si="0"/>
        <v>0.145</v>
      </c>
    </row>
    <row r="31" spans="1:15" s="97" customFormat="1" ht="14.25" customHeight="1" hidden="1">
      <c r="A31" s="553"/>
      <c r="B31" s="556"/>
      <c r="C31" s="550"/>
      <c r="D31" s="119" t="s">
        <v>41</v>
      </c>
      <c r="E31" s="546"/>
      <c r="F31" s="831"/>
      <c r="G31" s="540"/>
      <c r="H31" s="841"/>
      <c r="I31" s="431"/>
      <c r="J31" s="95">
        <f t="shared" si="4"/>
        <v>0.12000000000000001</v>
      </c>
      <c r="K31" s="96">
        <f t="shared" si="4"/>
        <v>0.13</v>
      </c>
      <c r="L31" s="531"/>
      <c r="M31" s="370"/>
      <c r="N31" s="95">
        <f t="shared" si="0"/>
        <v>0.13</v>
      </c>
      <c r="O31" s="86">
        <f t="shared" si="0"/>
        <v>0.14</v>
      </c>
    </row>
    <row r="32" spans="1:15" s="97" customFormat="1" ht="17.25" customHeight="1" hidden="1">
      <c r="A32" s="553"/>
      <c r="B32" s="556"/>
      <c r="C32" s="541" t="s">
        <v>46</v>
      </c>
      <c r="D32" s="119" t="s">
        <v>33</v>
      </c>
      <c r="E32" s="88" t="s">
        <v>34</v>
      </c>
      <c r="F32" s="122" t="s">
        <v>49</v>
      </c>
      <c r="G32" s="540"/>
      <c r="H32" s="846" t="s">
        <v>51</v>
      </c>
      <c r="I32" s="438"/>
      <c r="J32" s="95">
        <f>J24-2%</f>
        <v>0.115</v>
      </c>
      <c r="K32" s="96">
        <f>K24-2%</f>
        <v>0.12499999999999999</v>
      </c>
      <c r="L32" s="853" t="s">
        <v>48</v>
      </c>
      <c r="M32" s="340"/>
      <c r="N32" s="95">
        <f t="shared" si="0"/>
        <v>0.125</v>
      </c>
      <c r="O32" s="86">
        <f t="shared" si="0"/>
        <v>0.13499999999999998</v>
      </c>
    </row>
    <row r="33" spans="1:15" s="97" customFormat="1" ht="12.75" customHeight="1" hidden="1">
      <c r="A33" s="553"/>
      <c r="B33" s="556"/>
      <c r="C33" s="546"/>
      <c r="D33" s="119" t="s">
        <v>39</v>
      </c>
      <c r="E33" s="541" t="s">
        <v>91</v>
      </c>
      <c r="F33" s="832" t="s">
        <v>80</v>
      </c>
      <c r="G33" s="540"/>
      <c r="H33" s="847"/>
      <c r="I33" s="439"/>
      <c r="J33" s="85">
        <f aca="true" t="shared" si="5" ref="J33:K35">J25-1%</f>
        <v>0.10000000000000002</v>
      </c>
      <c r="K33" s="96">
        <f t="shared" si="5"/>
        <v>0.11</v>
      </c>
      <c r="L33" s="854"/>
      <c r="M33" s="341"/>
      <c r="N33" s="95">
        <f t="shared" si="0"/>
        <v>0.11000000000000001</v>
      </c>
      <c r="O33" s="86">
        <f t="shared" si="0"/>
        <v>0.12</v>
      </c>
    </row>
    <row r="34" spans="1:15" s="97" customFormat="1" ht="17.25" customHeight="1" hidden="1">
      <c r="A34" s="553"/>
      <c r="B34" s="556"/>
      <c r="C34" s="546"/>
      <c r="D34" s="119" t="s">
        <v>40</v>
      </c>
      <c r="E34" s="546"/>
      <c r="F34" s="672"/>
      <c r="G34" s="540"/>
      <c r="H34" s="847"/>
      <c r="I34" s="439"/>
      <c r="J34" s="95">
        <f t="shared" si="5"/>
        <v>0.09500000000000001</v>
      </c>
      <c r="K34" s="96">
        <f t="shared" si="5"/>
        <v>0.105</v>
      </c>
      <c r="L34" s="854"/>
      <c r="M34" s="341"/>
      <c r="N34" s="95">
        <f t="shared" si="0"/>
        <v>0.10500000000000001</v>
      </c>
      <c r="O34" s="86">
        <f t="shared" si="0"/>
        <v>0.11499999999999999</v>
      </c>
    </row>
    <row r="35" spans="1:15" s="97" customFormat="1" ht="17.25" customHeight="1" hidden="1" thickBot="1">
      <c r="A35" s="554"/>
      <c r="B35" s="549"/>
      <c r="C35" s="547"/>
      <c r="D35" s="123" t="s">
        <v>41</v>
      </c>
      <c r="E35" s="547"/>
      <c r="F35" s="673"/>
      <c r="G35" s="533"/>
      <c r="H35" s="859"/>
      <c r="I35" s="441"/>
      <c r="J35" s="99">
        <f t="shared" si="5"/>
        <v>0.09000000000000001</v>
      </c>
      <c r="K35" s="100">
        <f t="shared" si="5"/>
        <v>0.10000000000000002</v>
      </c>
      <c r="L35" s="855"/>
      <c r="M35" s="372"/>
      <c r="N35" s="99">
        <f t="shared" si="0"/>
        <v>0.1</v>
      </c>
      <c r="O35" s="101">
        <f t="shared" si="0"/>
        <v>0.11000000000000001</v>
      </c>
    </row>
    <row r="36" spans="1:26" s="116" customFormat="1" ht="13.5" customHeight="1" hidden="1">
      <c r="A36" s="620" t="s">
        <v>92</v>
      </c>
      <c r="B36" s="856" t="s">
        <v>31</v>
      </c>
      <c r="C36" s="858" t="s">
        <v>32</v>
      </c>
      <c r="D36" s="118" t="s">
        <v>93</v>
      </c>
      <c r="E36" s="546" t="s">
        <v>34</v>
      </c>
      <c r="F36" s="867" t="s">
        <v>35</v>
      </c>
      <c r="G36" s="861" t="s">
        <v>94</v>
      </c>
      <c r="H36" s="118" t="s">
        <v>95</v>
      </c>
      <c r="I36" s="442"/>
      <c r="J36" s="166">
        <v>0.1267</v>
      </c>
      <c r="K36" s="863" t="s">
        <v>96</v>
      </c>
      <c r="L36" s="865">
        <v>6000</v>
      </c>
      <c r="M36" s="373"/>
      <c r="N36" s="170">
        <f aca="true" t="shared" si="6" ref="N36:O53">J36+1%</f>
        <v>0.13670000000000002</v>
      </c>
      <c r="O36" s="868" t="s">
        <v>96</v>
      </c>
      <c r="Q36" s="116" t="s">
        <v>145</v>
      </c>
      <c r="R36" s="293">
        <f>J36</f>
        <v>0.1267</v>
      </c>
      <c r="Y36" s="116" t="s">
        <v>145</v>
      </c>
      <c r="Z36" s="293">
        <f>N36</f>
        <v>0.13670000000000002</v>
      </c>
    </row>
    <row r="37" spans="1:26" s="116" customFormat="1" ht="13.5" customHeight="1" hidden="1">
      <c r="A37" s="860"/>
      <c r="B37" s="857"/>
      <c r="C37" s="851"/>
      <c r="D37" s="119" t="s">
        <v>40</v>
      </c>
      <c r="E37" s="546"/>
      <c r="F37" s="852"/>
      <c r="G37" s="862"/>
      <c r="H37" s="119" t="s">
        <v>97</v>
      </c>
      <c r="I37" s="443"/>
      <c r="J37" s="167">
        <v>0.1167</v>
      </c>
      <c r="K37" s="864"/>
      <c r="L37" s="866"/>
      <c r="M37" s="374"/>
      <c r="N37" s="171">
        <f t="shared" si="6"/>
        <v>0.1267</v>
      </c>
      <c r="O37" s="869"/>
      <c r="R37" s="293">
        <f aca="true" t="shared" si="7" ref="R37:R50">J37</f>
        <v>0.1167</v>
      </c>
      <c r="Z37" s="293">
        <f aca="true" t="shared" si="8" ref="Z37:Z50">N37</f>
        <v>0.1267</v>
      </c>
    </row>
    <row r="38" spans="1:31" s="116" customFormat="1" ht="13.5" customHeight="1" hidden="1">
      <c r="A38" s="860"/>
      <c r="B38" s="857"/>
      <c r="C38" s="851"/>
      <c r="D38" s="119" t="s">
        <v>41</v>
      </c>
      <c r="E38" s="546"/>
      <c r="F38" s="852"/>
      <c r="G38" s="862"/>
      <c r="H38" s="119" t="s">
        <v>98</v>
      </c>
      <c r="I38" s="443"/>
      <c r="J38" s="167">
        <v>0.1067</v>
      </c>
      <c r="K38" s="864"/>
      <c r="L38" s="866"/>
      <c r="M38" s="374"/>
      <c r="N38" s="171">
        <f t="shared" si="6"/>
        <v>0.1167</v>
      </c>
      <c r="O38" s="869"/>
      <c r="Q38" s="294"/>
      <c r="R38" s="295">
        <f t="shared" si="7"/>
        <v>0.1067</v>
      </c>
      <c r="S38" s="295">
        <f>IF($S$1=15,R36,IF($S$1=30,R37,IF($S$1=50,R38,0)))</f>
        <v>0</v>
      </c>
      <c r="T38" s="295">
        <f>S38</f>
        <v>0</v>
      </c>
      <c r="U38" s="295">
        <f>T38</f>
        <v>0</v>
      </c>
      <c r="V38" s="297"/>
      <c r="W38" s="297"/>
      <c r="Y38" s="294"/>
      <c r="Z38" s="295">
        <f t="shared" si="8"/>
        <v>0.1167</v>
      </c>
      <c r="AA38" s="295">
        <f>IF($S$1=15,Z36,IF($S$1=30,Z37,IF($S$1=50,Z38,0)))</f>
        <v>0</v>
      </c>
      <c r="AB38" s="295">
        <f>AA38</f>
        <v>0</v>
      </c>
      <c r="AC38" s="295">
        <f>AB38</f>
        <v>0</v>
      </c>
      <c r="AD38" s="297"/>
      <c r="AE38" s="297"/>
    </row>
    <row r="39" spans="1:31" s="116" customFormat="1" ht="13.5" customHeight="1" hidden="1">
      <c r="A39" s="860"/>
      <c r="B39" s="857" t="s">
        <v>42</v>
      </c>
      <c r="C39" s="851" t="s">
        <v>32</v>
      </c>
      <c r="D39" s="119" t="s">
        <v>93</v>
      </c>
      <c r="E39" s="546"/>
      <c r="F39" s="852" t="s">
        <v>35</v>
      </c>
      <c r="G39" s="862" t="s">
        <v>94</v>
      </c>
      <c r="H39" s="119" t="s">
        <v>95</v>
      </c>
      <c r="I39" s="443"/>
      <c r="J39" s="167">
        <v>0.1067</v>
      </c>
      <c r="K39" s="864" t="s">
        <v>96</v>
      </c>
      <c r="L39" s="866">
        <v>6000</v>
      </c>
      <c r="M39" s="374"/>
      <c r="N39" s="171">
        <f t="shared" si="6"/>
        <v>0.1167</v>
      </c>
      <c r="O39" s="869" t="s">
        <v>96</v>
      </c>
      <c r="Q39" s="116" t="s">
        <v>146</v>
      </c>
      <c r="R39" s="293">
        <f t="shared" si="7"/>
        <v>0.1067</v>
      </c>
      <c r="V39" s="297"/>
      <c r="W39" s="297"/>
      <c r="Y39" s="116" t="s">
        <v>146</v>
      </c>
      <c r="Z39" s="293">
        <f t="shared" si="8"/>
        <v>0.1167</v>
      </c>
      <c r="AD39" s="297"/>
      <c r="AE39" s="297"/>
    </row>
    <row r="40" spans="1:31" s="116" customFormat="1" ht="13.5" customHeight="1" hidden="1">
      <c r="A40" s="860"/>
      <c r="B40" s="857"/>
      <c r="C40" s="851"/>
      <c r="D40" s="119" t="s">
        <v>40</v>
      </c>
      <c r="E40" s="546"/>
      <c r="F40" s="852"/>
      <c r="G40" s="862"/>
      <c r="H40" s="119" t="s">
        <v>97</v>
      </c>
      <c r="I40" s="443"/>
      <c r="J40" s="167">
        <v>0.0967</v>
      </c>
      <c r="K40" s="864"/>
      <c r="L40" s="866"/>
      <c r="M40" s="374"/>
      <c r="N40" s="171">
        <f t="shared" si="6"/>
        <v>0.10669999999999999</v>
      </c>
      <c r="O40" s="869"/>
      <c r="R40" s="293">
        <f t="shared" si="7"/>
        <v>0.0967</v>
      </c>
      <c r="V40" s="297"/>
      <c r="W40" s="297"/>
      <c r="Z40" s="293">
        <f t="shared" si="8"/>
        <v>0.10669999999999999</v>
      </c>
      <c r="AD40" s="297"/>
      <c r="AE40" s="297"/>
    </row>
    <row r="41" spans="1:31" s="116" customFormat="1" ht="13.5" customHeight="1" hidden="1" thickBot="1">
      <c r="A41" s="860"/>
      <c r="B41" s="857"/>
      <c r="C41" s="851"/>
      <c r="D41" s="119" t="s">
        <v>41</v>
      </c>
      <c r="E41" s="550"/>
      <c r="F41" s="852"/>
      <c r="G41" s="862"/>
      <c r="H41" s="119" t="s">
        <v>98</v>
      </c>
      <c r="I41" s="443"/>
      <c r="J41" s="167">
        <v>0.0867</v>
      </c>
      <c r="K41" s="864"/>
      <c r="L41" s="866"/>
      <c r="M41" s="374"/>
      <c r="N41" s="171">
        <f t="shared" si="6"/>
        <v>0.0967</v>
      </c>
      <c r="O41" s="869"/>
      <c r="Q41" s="302"/>
      <c r="R41" s="296">
        <f t="shared" si="7"/>
        <v>0.0867</v>
      </c>
      <c r="S41" s="296">
        <f>IF($S$1=15,R39,IF($S$1=30,R40,IF($S$1=50,R41,0)))</f>
        <v>0</v>
      </c>
      <c r="T41" s="296">
        <f>S41</f>
        <v>0</v>
      </c>
      <c r="U41" s="296">
        <f>T41</f>
        <v>0</v>
      </c>
      <c r="V41" s="296">
        <f>IF($V$1=2,U41,U38)</f>
        <v>0</v>
      </c>
      <c r="W41" s="297"/>
      <c r="Y41" s="302"/>
      <c r="Z41" s="296">
        <f t="shared" si="8"/>
        <v>0.0967</v>
      </c>
      <c r="AA41" s="296">
        <f>IF($S$1=15,Z39,IF($S$1=30,Z40,IF($S$1=50,Z41,0)))</f>
        <v>0</v>
      </c>
      <c r="AB41" s="296">
        <f>AA41</f>
        <v>0</v>
      </c>
      <c r="AC41" s="296">
        <f>AB41</f>
        <v>0</v>
      </c>
      <c r="AD41" s="296">
        <f>IF($V$1=2,AC41,AC38)</f>
        <v>0</v>
      </c>
      <c r="AE41" s="297"/>
    </row>
    <row r="42" spans="1:31" s="116" customFormat="1" ht="13.5" customHeight="1" hidden="1">
      <c r="A42" s="871" t="s">
        <v>99</v>
      </c>
      <c r="B42" s="548" t="s">
        <v>31</v>
      </c>
      <c r="C42" s="541" t="s">
        <v>32</v>
      </c>
      <c r="D42" s="119" t="s">
        <v>93</v>
      </c>
      <c r="E42" s="541" t="s">
        <v>91</v>
      </c>
      <c r="F42" s="832" t="s">
        <v>35</v>
      </c>
      <c r="G42" s="875" t="s">
        <v>94</v>
      </c>
      <c r="H42" s="120" t="s">
        <v>95</v>
      </c>
      <c r="I42" s="444"/>
      <c r="J42" s="167">
        <v>0.1067</v>
      </c>
      <c r="K42" s="876" t="s">
        <v>96</v>
      </c>
      <c r="L42" s="866">
        <v>6000</v>
      </c>
      <c r="M42" s="374"/>
      <c r="N42" s="171">
        <f t="shared" si="6"/>
        <v>0.1167</v>
      </c>
      <c r="O42" s="872" t="s">
        <v>96</v>
      </c>
      <c r="Q42" s="116" t="s">
        <v>161</v>
      </c>
      <c r="R42" s="293">
        <f t="shared" si="7"/>
        <v>0.1067</v>
      </c>
      <c r="V42" s="297"/>
      <c r="W42" s="297"/>
      <c r="Y42" s="116" t="s">
        <v>161</v>
      </c>
      <c r="Z42" s="293">
        <f t="shared" si="8"/>
        <v>0.1167</v>
      </c>
      <c r="AD42" s="297"/>
      <c r="AE42" s="297"/>
    </row>
    <row r="43" spans="1:31" s="116" customFormat="1" ht="13.5" customHeight="1" hidden="1">
      <c r="A43" s="553"/>
      <c r="B43" s="556"/>
      <c r="C43" s="546"/>
      <c r="D43" s="119" t="s">
        <v>40</v>
      </c>
      <c r="E43" s="546"/>
      <c r="F43" s="672"/>
      <c r="G43" s="535"/>
      <c r="H43" s="120" t="s">
        <v>97</v>
      </c>
      <c r="I43" s="444"/>
      <c r="J43" s="167">
        <v>0.0967</v>
      </c>
      <c r="K43" s="626"/>
      <c r="L43" s="866"/>
      <c r="M43" s="374"/>
      <c r="N43" s="171">
        <f t="shared" si="6"/>
        <v>0.10669999999999999</v>
      </c>
      <c r="O43" s="781"/>
      <c r="Q43" s="116" t="s">
        <v>151</v>
      </c>
      <c r="R43" s="293">
        <f t="shared" si="7"/>
        <v>0.0967</v>
      </c>
      <c r="V43" s="297"/>
      <c r="W43" s="297"/>
      <c r="Y43" s="116" t="s">
        <v>151</v>
      </c>
      <c r="Z43" s="293">
        <f t="shared" si="8"/>
        <v>0.10669999999999999</v>
      </c>
      <c r="AD43" s="297"/>
      <c r="AE43" s="297"/>
    </row>
    <row r="44" spans="1:31" s="116" customFormat="1" ht="13.5" customHeight="1" hidden="1">
      <c r="A44" s="553"/>
      <c r="B44" s="556"/>
      <c r="C44" s="546"/>
      <c r="D44" s="119" t="s">
        <v>41</v>
      </c>
      <c r="E44" s="550"/>
      <c r="F44" s="831"/>
      <c r="G44" s="535"/>
      <c r="H44" s="120" t="s">
        <v>98</v>
      </c>
      <c r="I44" s="444"/>
      <c r="J44" s="167">
        <v>0.0867</v>
      </c>
      <c r="K44" s="874"/>
      <c r="L44" s="866"/>
      <c r="M44" s="374"/>
      <c r="N44" s="171">
        <f t="shared" si="6"/>
        <v>0.0967</v>
      </c>
      <c r="O44" s="873"/>
      <c r="Q44" s="294"/>
      <c r="R44" s="295">
        <f t="shared" si="7"/>
        <v>0.0867</v>
      </c>
      <c r="S44" s="295">
        <f>IF($S$1=15,R42,IF($S$1=30,R43,IF($S$1=50,R44,0)))</f>
        <v>0</v>
      </c>
      <c r="T44" s="295">
        <f>S44</f>
        <v>0</v>
      </c>
      <c r="U44" s="294"/>
      <c r="V44" s="297"/>
      <c r="W44" s="297"/>
      <c r="Y44" s="294"/>
      <c r="Z44" s="295">
        <f t="shared" si="8"/>
        <v>0.0967</v>
      </c>
      <c r="AA44" s="295">
        <f>IF($S$1=15,Z42,IF($S$1=30,Z43,IF($S$1=50,Z44,0)))</f>
        <v>0</v>
      </c>
      <c r="AB44" s="295">
        <f>AA44</f>
        <v>0</v>
      </c>
      <c r="AC44" s="294"/>
      <c r="AD44" s="297"/>
      <c r="AE44" s="297"/>
    </row>
    <row r="45" spans="1:31" s="124" customFormat="1" ht="13.5" customHeight="1" hidden="1">
      <c r="A45" s="553"/>
      <c r="B45" s="556"/>
      <c r="C45" s="546"/>
      <c r="D45" s="119" t="s">
        <v>93</v>
      </c>
      <c r="E45" s="546" t="s">
        <v>34</v>
      </c>
      <c r="F45" s="834" t="s">
        <v>49</v>
      </c>
      <c r="G45" s="535"/>
      <c r="H45" s="120" t="s">
        <v>95</v>
      </c>
      <c r="I45" s="444"/>
      <c r="J45" s="167">
        <v>0.0867</v>
      </c>
      <c r="K45" s="626" t="s">
        <v>96</v>
      </c>
      <c r="L45" s="866">
        <v>6000</v>
      </c>
      <c r="M45" s="374"/>
      <c r="N45" s="171">
        <f t="shared" si="6"/>
        <v>0.0967</v>
      </c>
      <c r="O45" s="781" t="s">
        <v>96</v>
      </c>
      <c r="Q45" s="116" t="s">
        <v>145</v>
      </c>
      <c r="R45" s="293">
        <f t="shared" si="7"/>
        <v>0.0867</v>
      </c>
      <c r="V45" s="298"/>
      <c r="W45" s="298"/>
      <c r="Y45" s="116" t="s">
        <v>145</v>
      </c>
      <c r="Z45" s="293">
        <f t="shared" si="8"/>
        <v>0.0967</v>
      </c>
      <c r="AD45" s="298"/>
      <c r="AE45" s="298"/>
    </row>
    <row r="46" spans="1:31" s="124" customFormat="1" ht="13.5" customHeight="1" hidden="1">
      <c r="A46" s="553"/>
      <c r="B46" s="556"/>
      <c r="C46" s="546"/>
      <c r="D46" s="119" t="s">
        <v>40</v>
      </c>
      <c r="E46" s="546"/>
      <c r="F46" s="834"/>
      <c r="G46" s="535"/>
      <c r="H46" s="120" t="s">
        <v>97</v>
      </c>
      <c r="I46" s="444"/>
      <c r="J46" s="167">
        <v>0.0817</v>
      </c>
      <c r="K46" s="626"/>
      <c r="L46" s="866"/>
      <c r="M46" s="374"/>
      <c r="N46" s="171">
        <f t="shared" si="6"/>
        <v>0.09169999999999999</v>
      </c>
      <c r="O46" s="781"/>
      <c r="Q46" s="116" t="s">
        <v>152</v>
      </c>
      <c r="R46" s="293">
        <f t="shared" si="7"/>
        <v>0.0817</v>
      </c>
      <c r="V46" s="298"/>
      <c r="W46" s="298"/>
      <c r="Y46" s="116" t="s">
        <v>152</v>
      </c>
      <c r="Z46" s="293">
        <f t="shared" si="8"/>
        <v>0.09169999999999999</v>
      </c>
      <c r="AD46" s="298"/>
      <c r="AE46" s="298"/>
    </row>
    <row r="47" spans="1:31" s="124" customFormat="1" ht="13.5" customHeight="1" hidden="1">
      <c r="A47" s="553"/>
      <c r="B47" s="557"/>
      <c r="C47" s="546"/>
      <c r="D47" s="119" t="s">
        <v>41</v>
      </c>
      <c r="E47" s="550"/>
      <c r="F47" s="835"/>
      <c r="G47" s="535"/>
      <c r="H47" s="120" t="s">
        <v>98</v>
      </c>
      <c r="I47" s="444"/>
      <c r="J47" s="167">
        <v>0.0767</v>
      </c>
      <c r="K47" s="874"/>
      <c r="L47" s="866"/>
      <c r="M47" s="374"/>
      <c r="N47" s="171">
        <f t="shared" si="6"/>
        <v>0.0867</v>
      </c>
      <c r="O47" s="873"/>
      <c r="Q47" s="294"/>
      <c r="R47" s="295">
        <f t="shared" si="7"/>
        <v>0.0767</v>
      </c>
      <c r="S47" s="295">
        <f>IF($S$1=15,R45,IF($S$1=30,R46,IF($S$1=50,R47,0)))</f>
        <v>0</v>
      </c>
      <c r="T47" s="295">
        <f>S47</f>
        <v>0</v>
      </c>
      <c r="U47" s="295">
        <f>IF($U$1="да",T47,T44)</f>
        <v>0</v>
      </c>
      <c r="V47" s="298"/>
      <c r="W47" s="298"/>
      <c r="Y47" s="294"/>
      <c r="Z47" s="295">
        <f t="shared" si="8"/>
        <v>0.0867</v>
      </c>
      <c r="AA47" s="295">
        <f>IF($S$1=15,Z45,IF($S$1=30,Z46,IF($S$1=50,Z47,0)))</f>
        <v>0</v>
      </c>
      <c r="AB47" s="295">
        <f>AA47</f>
        <v>0</v>
      </c>
      <c r="AC47" s="295">
        <f>IF($U$1="да",AB47,AB44)</f>
        <v>0</v>
      </c>
      <c r="AD47" s="298"/>
      <c r="AE47" s="298"/>
    </row>
    <row r="48" spans="1:26" s="124" customFormat="1" ht="13.5" customHeight="1" hidden="1">
      <c r="A48" s="553"/>
      <c r="B48" s="548" t="s">
        <v>42</v>
      </c>
      <c r="C48" s="546"/>
      <c r="D48" s="119" t="s">
        <v>93</v>
      </c>
      <c r="E48" s="541" t="s">
        <v>91</v>
      </c>
      <c r="F48" s="832" t="s">
        <v>35</v>
      </c>
      <c r="G48" s="535"/>
      <c r="H48" s="120" t="s">
        <v>95</v>
      </c>
      <c r="I48" s="444"/>
      <c r="J48" s="167">
        <v>0.0767</v>
      </c>
      <c r="K48" s="626" t="s">
        <v>96</v>
      </c>
      <c r="L48" s="866">
        <v>6000</v>
      </c>
      <c r="M48" s="374"/>
      <c r="N48" s="171">
        <f t="shared" si="6"/>
        <v>0.0867</v>
      </c>
      <c r="O48" s="781" t="s">
        <v>96</v>
      </c>
      <c r="Q48" s="116" t="s">
        <v>146</v>
      </c>
      <c r="R48" s="293">
        <f t="shared" si="7"/>
        <v>0.0767</v>
      </c>
      <c r="Y48" s="116" t="s">
        <v>146</v>
      </c>
      <c r="Z48" s="293">
        <f t="shared" si="8"/>
        <v>0.0867</v>
      </c>
    </row>
    <row r="49" spans="1:26" s="124" customFormat="1" ht="13.5" customHeight="1" hidden="1">
      <c r="A49" s="553"/>
      <c r="B49" s="556"/>
      <c r="C49" s="546"/>
      <c r="D49" s="119" t="s">
        <v>40</v>
      </c>
      <c r="E49" s="546"/>
      <c r="F49" s="672"/>
      <c r="G49" s="535"/>
      <c r="H49" s="120" t="s">
        <v>97</v>
      </c>
      <c r="I49" s="444"/>
      <c r="J49" s="167">
        <v>0.0717</v>
      </c>
      <c r="K49" s="626"/>
      <c r="L49" s="866"/>
      <c r="M49" s="374"/>
      <c r="N49" s="171">
        <f t="shared" si="6"/>
        <v>0.0817</v>
      </c>
      <c r="O49" s="781"/>
      <c r="Q49" s="116"/>
      <c r="R49" s="293">
        <f t="shared" si="7"/>
        <v>0.0717</v>
      </c>
      <c r="Y49" s="116"/>
      <c r="Z49" s="293">
        <f t="shared" si="8"/>
        <v>0.0817</v>
      </c>
    </row>
    <row r="50" spans="1:30" s="124" customFormat="1" ht="13.5" customHeight="1" hidden="1" thickBot="1">
      <c r="A50" s="554"/>
      <c r="B50" s="549"/>
      <c r="C50" s="547"/>
      <c r="D50" s="123" t="s">
        <v>41</v>
      </c>
      <c r="E50" s="547"/>
      <c r="F50" s="673"/>
      <c r="G50" s="536"/>
      <c r="H50" s="123" t="s">
        <v>98</v>
      </c>
      <c r="I50" s="445"/>
      <c r="J50" s="168">
        <v>0.0667</v>
      </c>
      <c r="K50" s="627"/>
      <c r="L50" s="870"/>
      <c r="M50" s="375"/>
      <c r="N50" s="172">
        <f t="shared" si="6"/>
        <v>0.07669999999999999</v>
      </c>
      <c r="O50" s="782"/>
      <c r="Q50" s="302"/>
      <c r="R50" s="296">
        <f t="shared" si="7"/>
        <v>0.0667</v>
      </c>
      <c r="S50" s="296">
        <f>IF($S$1=15,R48,IF($S$1=30,R49,IF($S$1=50,R50,0)))</f>
        <v>0</v>
      </c>
      <c r="T50" s="296">
        <f>S50</f>
        <v>0</v>
      </c>
      <c r="U50" s="296">
        <f>T50</f>
        <v>0</v>
      </c>
      <c r="V50" s="296">
        <f>IF($V$1=2,U50,U47)</f>
        <v>0</v>
      </c>
      <c r="Y50" s="302"/>
      <c r="Z50" s="296">
        <f t="shared" si="8"/>
        <v>0.07669999999999999</v>
      </c>
      <c r="AA50" s="296">
        <f>IF($S$1=15,Z48,IF($S$1=30,Z49,IF($S$1=50,Z50,0)))</f>
        <v>0</v>
      </c>
      <c r="AB50" s="296">
        <f>AA50</f>
        <v>0</v>
      </c>
      <c r="AC50" s="296">
        <f>AB50</f>
        <v>0</v>
      </c>
      <c r="AD50" s="296">
        <f>IF($V$1=2,AC50,AC47)</f>
        <v>0</v>
      </c>
    </row>
    <row r="51" spans="1:26" s="83" customFormat="1" ht="13.5" customHeight="1" hidden="1">
      <c r="A51" s="653" t="s">
        <v>100</v>
      </c>
      <c r="B51" s="555" t="s">
        <v>31</v>
      </c>
      <c r="C51" s="546" t="s">
        <v>32</v>
      </c>
      <c r="D51" s="119" t="s">
        <v>93</v>
      </c>
      <c r="E51" s="546" t="s">
        <v>34</v>
      </c>
      <c r="F51" s="833" t="s">
        <v>35</v>
      </c>
      <c r="G51" s="544" t="s">
        <v>36</v>
      </c>
      <c r="H51" s="839" t="s">
        <v>37</v>
      </c>
      <c r="I51" s="430"/>
      <c r="J51" s="169">
        <f aca="true" t="shared" si="9" ref="J51:K53">J7-0.5%</f>
        <v>0.175</v>
      </c>
      <c r="K51" s="130">
        <f t="shared" si="9"/>
        <v>0.185</v>
      </c>
      <c r="L51" s="877">
        <v>6000</v>
      </c>
      <c r="M51" s="376"/>
      <c r="N51" s="131">
        <f t="shared" si="6"/>
        <v>0.185</v>
      </c>
      <c r="O51" s="155">
        <f>K51+1%</f>
        <v>0.195</v>
      </c>
      <c r="Q51" s="304" t="s">
        <v>145</v>
      </c>
      <c r="R51" s="301">
        <f>IF($R$1&lt;37,J51,K51)</f>
        <v>0.175</v>
      </c>
      <c r="Y51" s="304" t="s">
        <v>145</v>
      </c>
      <c r="Z51" s="301">
        <f>IF($R$1&lt;37,N51,O51)</f>
        <v>0.185</v>
      </c>
    </row>
    <row r="52" spans="1:26" s="83" customFormat="1" ht="13.5" customHeight="1" hidden="1">
      <c r="A52" s="638"/>
      <c r="B52" s="556"/>
      <c r="C52" s="546"/>
      <c r="D52" s="119" t="s">
        <v>40</v>
      </c>
      <c r="E52" s="546"/>
      <c r="F52" s="834"/>
      <c r="G52" s="535"/>
      <c r="H52" s="840"/>
      <c r="I52" s="430"/>
      <c r="J52" s="169">
        <f t="shared" si="9"/>
        <v>0.165</v>
      </c>
      <c r="K52" s="130">
        <f t="shared" si="9"/>
        <v>0.175</v>
      </c>
      <c r="L52" s="534"/>
      <c r="M52" s="341"/>
      <c r="N52" s="131">
        <f t="shared" si="6"/>
        <v>0.17500000000000002</v>
      </c>
      <c r="O52" s="155">
        <f>K52+1%</f>
        <v>0.185</v>
      </c>
      <c r="Q52" s="304"/>
      <c r="R52" s="301">
        <f aca="true" t="shared" si="10" ref="R52:R65">IF($R$1&lt;37,J52,K52)</f>
        <v>0.165</v>
      </c>
      <c r="Y52" s="304"/>
      <c r="Z52" s="301">
        <f aca="true" t="shared" si="11" ref="Z52:Z93">IF($R$1&lt;37,N52,O52)</f>
        <v>0.17500000000000002</v>
      </c>
    </row>
    <row r="53" spans="1:29" s="83" customFormat="1" ht="13.5" customHeight="1" hidden="1">
      <c r="A53" s="638"/>
      <c r="B53" s="557"/>
      <c r="C53" s="546"/>
      <c r="D53" s="119" t="s">
        <v>41</v>
      </c>
      <c r="E53" s="546"/>
      <c r="F53" s="835"/>
      <c r="G53" s="535"/>
      <c r="H53" s="840"/>
      <c r="I53" s="430"/>
      <c r="J53" s="169">
        <f t="shared" si="9"/>
        <v>0.155</v>
      </c>
      <c r="K53" s="130">
        <f t="shared" si="9"/>
        <v>0.165</v>
      </c>
      <c r="L53" s="531"/>
      <c r="M53" s="370"/>
      <c r="N53" s="131">
        <f t="shared" si="6"/>
        <v>0.165</v>
      </c>
      <c r="O53" s="155">
        <f t="shared" si="6"/>
        <v>0.17500000000000002</v>
      </c>
      <c r="Q53" s="305"/>
      <c r="R53" s="295">
        <f t="shared" si="10"/>
        <v>0.155</v>
      </c>
      <c r="S53" s="295">
        <f>IF($S$1=15,R51,IF($S$1=30,R52,IF($S$1=50,R53,0)))</f>
        <v>0</v>
      </c>
      <c r="T53" s="310">
        <f>S53</f>
        <v>0</v>
      </c>
      <c r="U53" s="310">
        <f>T53</f>
        <v>0</v>
      </c>
      <c r="Y53" s="305"/>
      <c r="Z53" s="295">
        <f t="shared" si="11"/>
        <v>0.165</v>
      </c>
      <c r="AA53" s="295">
        <f>IF($S$1=15,Z51,IF($S$1=30,Z52,IF($S$1=50,Z53,0)))</f>
        <v>0</v>
      </c>
      <c r="AB53" s="310">
        <f>AA53</f>
        <v>0</v>
      </c>
      <c r="AC53" s="310">
        <f>AB53</f>
        <v>0</v>
      </c>
    </row>
    <row r="54" spans="1:26" s="83" customFormat="1" ht="13.5" customHeight="1" hidden="1">
      <c r="A54" s="638"/>
      <c r="B54" s="548" t="s">
        <v>42</v>
      </c>
      <c r="C54" s="546"/>
      <c r="D54" s="119" t="s">
        <v>93</v>
      </c>
      <c r="E54" s="546"/>
      <c r="F54" s="834" t="s">
        <v>35</v>
      </c>
      <c r="G54" s="535"/>
      <c r="H54" s="840"/>
      <c r="I54" s="430"/>
      <c r="J54" s="169">
        <f aca="true" t="shared" si="12" ref="J54:K59">J11-0.5%</f>
        <v>0.155</v>
      </c>
      <c r="K54" s="130">
        <f t="shared" si="12"/>
        <v>0.165</v>
      </c>
      <c r="L54" s="534">
        <v>6000</v>
      </c>
      <c r="M54" s="341"/>
      <c r="N54" s="131">
        <f aca="true" t="shared" si="13" ref="N54:O65">J54+1%</f>
        <v>0.165</v>
      </c>
      <c r="O54" s="155">
        <f t="shared" si="13"/>
        <v>0.17500000000000002</v>
      </c>
      <c r="Q54" s="304" t="s">
        <v>146</v>
      </c>
      <c r="R54" s="301">
        <f t="shared" si="10"/>
        <v>0.155</v>
      </c>
      <c r="Y54" s="304" t="s">
        <v>146</v>
      </c>
      <c r="Z54" s="301">
        <f t="shared" si="11"/>
        <v>0.165</v>
      </c>
    </row>
    <row r="55" spans="1:26" s="83" customFormat="1" ht="13.5" customHeight="1" hidden="1">
      <c r="A55" s="638"/>
      <c r="B55" s="556"/>
      <c r="C55" s="546"/>
      <c r="D55" s="119" t="s">
        <v>40</v>
      </c>
      <c r="E55" s="546"/>
      <c r="F55" s="834"/>
      <c r="G55" s="535"/>
      <c r="H55" s="840"/>
      <c r="I55" s="430"/>
      <c r="J55" s="169">
        <f t="shared" si="12"/>
        <v>0.14500000000000002</v>
      </c>
      <c r="K55" s="130">
        <f t="shared" si="12"/>
        <v>0.155</v>
      </c>
      <c r="L55" s="534"/>
      <c r="M55" s="341"/>
      <c r="N55" s="131">
        <f t="shared" si="13"/>
        <v>0.15500000000000003</v>
      </c>
      <c r="O55" s="155">
        <f t="shared" si="13"/>
        <v>0.165</v>
      </c>
      <c r="Q55" s="304"/>
      <c r="R55" s="301">
        <f t="shared" si="10"/>
        <v>0.14500000000000002</v>
      </c>
      <c r="Y55" s="304"/>
      <c r="Z55" s="301">
        <f t="shared" si="11"/>
        <v>0.15500000000000003</v>
      </c>
    </row>
    <row r="56" spans="1:30" s="83" customFormat="1" ht="13.5" customHeight="1" hidden="1" thickBot="1">
      <c r="A56" s="621"/>
      <c r="B56" s="557"/>
      <c r="C56" s="550"/>
      <c r="D56" s="119" t="s">
        <v>41</v>
      </c>
      <c r="E56" s="550"/>
      <c r="F56" s="835"/>
      <c r="G56" s="838"/>
      <c r="H56" s="841"/>
      <c r="I56" s="431"/>
      <c r="J56" s="169">
        <f t="shared" si="12"/>
        <v>0.135</v>
      </c>
      <c r="K56" s="130">
        <f t="shared" si="12"/>
        <v>0.14500000000000002</v>
      </c>
      <c r="L56" s="531"/>
      <c r="M56" s="370"/>
      <c r="N56" s="131">
        <f t="shared" si="13"/>
        <v>0.14500000000000002</v>
      </c>
      <c r="O56" s="155">
        <f t="shared" si="13"/>
        <v>0.15500000000000003</v>
      </c>
      <c r="Q56" s="306"/>
      <c r="R56" s="296">
        <f t="shared" si="10"/>
        <v>0.135</v>
      </c>
      <c r="S56" s="296">
        <f>IF($S$1=15,R54,IF($S$1=30,R55,IF($S$1=50,R56,0)))</f>
        <v>0</v>
      </c>
      <c r="T56" s="311">
        <f>S56</f>
        <v>0</v>
      </c>
      <c r="U56" s="311">
        <f>T56</f>
        <v>0</v>
      </c>
      <c r="V56" s="311">
        <f>IF($V$1=2,U56,U53)</f>
        <v>0</v>
      </c>
      <c r="Y56" s="306"/>
      <c r="Z56" s="296">
        <f t="shared" si="11"/>
        <v>0.14500000000000002</v>
      </c>
      <c r="AA56" s="296">
        <f>IF($S$1=15,Z54,IF($S$1=30,Z55,IF($S$1=50,Z56,0)))</f>
        <v>0</v>
      </c>
      <c r="AB56" s="311">
        <f>AA56</f>
        <v>0</v>
      </c>
      <c r="AC56" s="311">
        <f>AB56</f>
        <v>0</v>
      </c>
      <c r="AD56" s="311">
        <f>IF($V$1=2,AC56,AC53)</f>
        <v>0</v>
      </c>
    </row>
    <row r="57" spans="1:26" s="83" customFormat="1" ht="13.5" customHeight="1" hidden="1">
      <c r="A57" s="871" t="s">
        <v>101</v>
      </c>
      <c r="B57" s="548" t="s">
        <v>31</v>
      </c>
      <c r="C57" s="541" t="s">
        <v>32</v>
      </c>
      <c r="D57" s="119" t="s">
        <v>93</v>
      </c>
      <c r="E57" s="541" t="s">
        <v>91</v>
      </c>
      <c r="F57" s="832" t="s">
        <v>35</v>
      </c>
      <c r="G57" s="879" t="s">
        <v>36</v>
      </c>
      <c r="H57" s="878" t="s">
        <v>45</v>
      </c>
      <c r="I57" s="444"/>
      <c r="J57" s="169">
        <f t="shared" si="12"/>
        <v>0.155</v>
      </c>
      <c r="K57" s="130">
        <f t="shared" si="12"/>
        <v>0.165</v>
      </c>
      <c r="L57" s="837">
        <v>6000</v>
      </c>
      <c r="M57" s="340"/>
      <c r="N57" s="131">
        <f t="shared" si="13"/>
        <v>0.165</v>
      </c>
      <c r="O57" s="155">
        <f t="shared" si="13"/>
        <v>0.17500000000000002</v>
      </c>
      <c r="Q57" s="304" t="s">
        <v>145</v>
      </c>
      <c r="R57" s="301">
        <f t="shared" si="10"/>
        <v>0.155</v>
      </c>
      <c r="Y57" s="304" t="s">
        <v>145</v>
      </c>
      <c r="Z57" s="301">
        <f t="shared" si="11"/>
        <v>0.165</v>
      </c>
    </row>
    <row r="58" spans="1:26" s="83" customFormat="1" ht="13.5" customHeight="1" hidden="1">
      <c r="A58" s="553"/>
      <c r="B58" s="556"/>
      <c r="C58" s="546"/>
      <c r="D58" s="119" t="s">
        <v>40</v>
      </c>
      <c r="E58" s="546"/>
      <c r="F58" s="672"/>
      <c r="G58" s="540"/>
      <c r="H58" s="849"/>
      <c r="I58" s="432"/>
      <c r="J58" s="169">
        <f t="shared" si="12"/>
        <v>0.145</v>
      </c>
      <c r="K58" s="130">
        <f t="shared" si="12"/>
        <v>0.155</v>
      </c>
      <c r="L58" s="534"/>
      <c r="M58" s="341"/>
      <c r="N58" s="131">
        <f t="shared" si="13"/>
        <v>0.155</v>
      </c>
      <c r="O58" s="155">
        <f t="shared" si="13"/>
        <v>0.165</v>
      </c>
      <c r="Q58" s="304" t="s">
        <v>151</v>
      </c>
      <c r="R58" s="301">
        <f t="shared" si="10"/>
        <v>0.145</v>
      </c>
      <c r="Y58" s="304" t="s">
        <v>151</v>
      </c>
      <c r="Z58" s="301">
        <f t="shared" si="11"/>
        <v>0.155</v>
      </c>
    </row>
    <row r="59" spans="1:29" s="83" customFormat="1" ht="13.5" customHeight="1" hidden="1">
      <c r="A59" s="553"/>
      <c r="B59" s="556"/>
      <c r="C59" s="550"/>
      <c r="D59" s="119" t="s">
        <v>41</v>
      </c>
      <c r="E59" s="550"/>
      <c r="F59" s="831"/>
      <c r="G59" s="540"/>
      <c r="H59" s="850"/>
      <c r="I59" s="433"/>
      <c r="J59" s="169">
        <f>J16-0.5%</f>
        <v>0.135</v>
      </c>
      <c r="K59" s="130">
        <f t="shared" si="12"/>
        <v>0.145</v>
      </c>
      <c r="L59" s="531"/>
      <c r="M59" s="370"/>
      <c r="N59" s="131">
        <f t="shared" si="13"/>
        <v>0.14500000000000002</v>
      </c>
      <c r="O59" s="155">
        <f t="shared" si="13"/>
        <v>0.155</v>
      </c>
      <c r="Q59" s="305"/>
      <c r="R59" s="295">
        <f t="shared" si="10"/>
        <v>0.135</v>
      </c>
      <c r="S59" s="295">
        <f>IF($S$1=15,R57,IF($S$1=30,R58,IF($S$1=50,R59,0)))</f>
        <v>0</v>
      </c>
      <c r="T59" s="310">
        <f>S59</f>
        <v>0</v>
      </c>
      <c r="U59" s="258"/>
      <c r="Y59" s="305"/>
      <c r="Z59" s="295">
        <f t="shared" si="11"/>
        <v>0.14500000000000002</v>
      </c>
      <c r="AA59" s="295">
        <f>IF($S$1=15,Z57,IF($S$1=30,Z58,IF($S$1=50,Z59,0)))</f>
        <v>0</v>
      </c>
      <c r="AB59" s="310">
        <f>AA59</f>
        <v>0</v>
      </c>
      <c r="AC59" s="258"/>
    </row>
    <row r="60" spans="1:26" s="97" customFormat="1" ht="13.5" customHeight="1" hidden="1">
      <c r="A60" s="553"/>
      <c r="B60" s="556"/>
      <c r="C60" s="546" t="s">
        <v>32</v>
      </c>
      <c r="D60" s="119" t="s">
        <v>93</v>
      </c>
      <c r="E60" s="546" t="s">
        <v>34</v>
      </c>
      <c r="F60" s="834" t="s">
        <v>49</v>
      </c>
      <c r="G60" s="540"/>
      <c r="H60" s="845" t="s">
        <v>50</v>
      </c>
      <c r="I60" s="437"/>
      <c r="J60" s="169">
        <f>J21-0.5%</f>
        <v>0.135</v>
      </c>
      <c r="K60" s="130">
        <f aca="true" t="shared" si="14" ref="J60:K62">K21-0.5%</f>
        <v>0.145</v>
      </c>
      <c r="L60" s="837">
        <v>6000</v>
      </c>
      <c r="M60" s="340"/>
      <c r="N60" s="131">
        <f t="shared" si="13"/>
        <v>0.14500000000000002</v>
      </c>
      <c r="O60" s="155">
        <f t="shared" si="13"/>
        <v>0.155</v>
      </c>
      <c r="Q60" s="304" t="s">
        <v>145</v>
      </c>
      <c r="R60" s="301">
        <f t="shared" si="10"/>
        <v>0.135</v>
      </c>
      <c r="Y60" s="304" t="s">
        <v>145</v>
      </c>
      <c r="Z60" s="301">
        <f t="shared" si="11"/>
        <v>0.14500000000000002</v>
      </c>
    </row>
    <row r="61" spans="1:26" s="97" customFormat="1" ht="13.5" customHeight="1" hidden="1">
      <c r="A61" s="553"/>
      <c r="B61" s="556"/>
      <c r="C61" s="546"/>
      <c r="D61" s="119" t="s">
        <v>40</v>
      </c>
      <c r="E61" s="546"/>
      <c r="F61" s="834"/>
      <c r="G61" s="540"/>
      <c r="H61" s="840"/>
      <c r="I61" s="430"/>
      <c r="J61" s="169">
        <f>J22-0.5%</f>
        <v>0.13</v>
      </c>
      <c r="K61" s="130">
        <f t="shared" si="14"/>
        <v>0.13999999999999999</v>
      </c>
      <c r="L61" s="534"/>
      <c r="M61" s="341"/>
      <c r="N61" s="131">
        <f t="shared" si="13"/>
        <v>0.14</v>
      </c>
      <c r="O61" s="155">
        <f t="shared" si="13"/>
        <v>0.15</v>
      </c>
      <c r="Q61" s="304" t="s">
        <v>152</v>
      </c>
      <c r="R61" s="301">
        <f t="shared" si="10"/>
        <v>0.13</v>
      </c>
      <c r="Y61" s="304" t="s">
        <v>152</v>
      </c>
      <c r="Z61" s="301">
        <f t="shared" si="11"/>
        <v>0.14</v>
      </c>
    </row>
    <row r="62" spans="1:29" s="97" customFormat="1" ht="13.5" customHeight="1" hidden="1">
      <c r="A62" s="553"/>
      <c r="B62" s="557"/>
      <c r="C62" s="550"/>
      <c r="D62" s="119" t="s">
        <v>41</v>
      </c>
      <c r="E62" s="550"/>
      <c r="F62" s="835"/>
      <c r="G62" s="540"/>
      <c r="H62" s="841"/>
      <c r="I62" s="431"/>
      <c r="J62" s="169">
        <f t="shared" si="14"/>
        <v>0.125</v>
      </c>
      <c r="K62" s="130">
        <f t="shared" si="14"/>
        <v>0.135</v>
      </c>
      <c r="L62" s="531"/>
      <c r="M62" s="370"/>
      <c r="N62" s="131">
        <f t="shared" si="13"/>
        <v>0.135</v>
      </c>
      <c r="O62" s="155">
        <f t="shared" si="13"/>
        <v>0.14500000000000002</v>
      </c>
      <c r="Q62" s="305"/>
      <c r="R62" s="295">
        <f t="shared" si="10"/>
        <v>0.125</v>
      </c>
      <c r="S62" s="295">
        <f>IF($S$1=15,R60,IF($S$1=30,R61,IF($S$1=50,R62,0)))</f>
        <v>0</v>
      </c>
      <c r="T62" s="310">
        <f>S62</f>
        <v>0</v>
      </c>
      <c r="U62" s="310">
        <f>IF($U$1="да",T62,T59)</f>
        <v>0</v>
      </c>
      <c r="Y62" s="305"/>
      <c r="Z62" s="295">
        <f t="shared" si="11"/>
        <v>0.135</v>
      </c>
      <c r="AA62" s="295">
        <f>IF($S$1=15,Z60,IF($S$1=30,Z61,IF($S$1=50,Z62,0)))</f>
        <v>0</v>
      </c>
      <c r="AB62" s="310">
        <f>AA62</f>
        <v>0</v>
      </c>
      <c r="AC62" s="310">
        <f>IF($U$1="да",AB62,AB59)</f>
        <v>0</v>
      </c>
    </row>
    <row r="63" spans="1:26" s="97" customFormat="1" ht="13.5" customHeight="1" hidden="1">
      <c r="A63" s="553"/>
      <c r="B63" s="548" t="s">
        <v>42</v>
      </c>
      <c r="C63" s="541" t="s">
        <v>32</v>
      </c>
      <c r="D63" s="119" t="s">
        <v>93</v>
      </c>
      <c r="E63" s="541" t="s">
        <v>91</v>
      </c>
      <c r="F63" s="832" t="s">
        <v>79</v>
      </c>
      <c r="G63" s="540"/>
      <c r="H63" s="840" t="s">
        <v>50</v>
      </c>
      <c r="I63" s="430"/>
      <c r="J63" s="169">
        <f>J29-0.5%</f>
        <v>0.125</v>
      </c>
      <c r="K63" s="130">
        <f aca="true" t="shared" si="15" ref="J63:K65">K29-0.5%</f>
        <v>0.13499999999999998</v>
      </c>
      <c r="L63" s="534">
        <v>6000</v>
      </c>
      <c r="M63" s="341"/>
      <c r="N63" s="131">
        <f t="shared" si="13"/>
        <v>0.135</v>
      </c>
      <c r="O63" s="155">
        <f t="shared" si="13"/>
        <v>0.145</v>
      </c>
      <c r="Q63" s="304" t="s">
        <v>146</v>
      </c>
      <c r="R63" s="301">
        <f t="shared" si="10"/>
        <v>0.125</v>
      </c>
      <c r="Y63" s="304" t="s">
        <v>146</v>
      </c>
      <c r="Z63" s="301">
        <f t="shared" si="11"/>
        <v>0.135</v>
      </c>
    </row>
    <row r="64" spans="1:26" s="97" customFormat="1" ht="13.5" customHeight="1" hidden="1">
      <c r="A64" s="553"/>
      <c r="B64" s="556"/>
      <c r="C64" s="546"/>
      <c r="D64" s="119" t="s">
        <v>40</v>
      </c>
      <c r="E64" s="546"/>
      <c r="F64" s="672"/>
      <c r="G64" s="540"/>
      <c r="H64" s="840"/>
      <c r="I64" s="430"/>
      <c r="J64" s="169">
        <f>J30-0.5%</f>
        <v>0.12</v>
      </c>
      <c r="K64" s="130">
        <f t="shared" si="15"/>
        <v>0.12999999999999998</v>
      </c>
      <c r="L64" s="534"/>
      <c r="M64" s="341"/>
      <c r="N64" s="131">
        <f t="shared" si="13"/>
        <v>0.13</v>
      </c>
      <c r="O64" s="155">
        <f t="shared" si="13"/>
        <v>0.13999999999999999</v>
      </c>
      <c r="Q64" s="304"/>
      <c r="R64" s="301">
        <f t="shared" si="10"/>
        <v>0.12</v>
      </c>
      <c r="Y64" s="304"/>
      <c r="Z64" s="301">
        <f t="shared" si="11"/>
        <v>0.13</v>
      </c>
    </row>
    <row r="65" spans="1:30" s="97" customFormat="1" ht="13.5" customHeight="1" hidden="1" thickBot="1">
      <c r="A65" s="554"/>
      <c r="B65" s="549"/>
      <c r="C65" s="547"/>
      <c r="D65" s="119" t="s">
        <v>41</v>
      </c>
      <c r="E65" s="547"/>
      <c r="F65" s="673"/>
      <c r="G65" s="533"/>
      <c r="H65" s="881"/>
      <c r="I65" s="430"/>
      <c r="J65" s="169">
        <f t="shared" si="15"/>
        <v>0.115</v>
      </c>
      <c r="K65" s="130">
        <f t="shared" si="15"/>
        <v>0.125</v>
      </c>
      <c r="L65" s="855"/>
      <c r="M65" s="341"/>
      <c r="N65" s="131">
        <f t="shared" si="13"/>
        <v>0.125</v>
      </c>
      <c r="O65" s="155">
        <f t="shared" si="13"/>
        <v>0.135</v>
      </c>
      <c r="Q65" s="306"/>
      <c r="R65" s="296">
        <f t="shared" si="10"/>
        <v>0.115</v>
      </c>
      <c r="S65" s="296">
        <f>IF($S$1=15,R63,IF($S$1=30,R64,IF($S$1=50,R65,0)))</f>
        <v>0</v>
      </c>
      <c r="T65" s="311">
        <f>S65</f>
        <v>0</v>
      </c>
      <c r="U65" s="311">
        <f>T65</f>
        <v>0</v>
      </c>
      <c r="V65" s="311">
        <f>IF($V$1=2,U65,U62)</f>
        <v>0</v>
      </c>
      <c r="Y65" s="306"/>
      <c r="Z65" s="296">
        <f t="shared" si="11"/>
        <v>0.125</v>
      </c>
      <c r="AA65" s="296">
        <f>IF($S$1=15,Z63,IF($S$1=30,Z64,IF($S$1=50,Z65,0)))</f>
        <v>0</v>
      </c>
      <c r="AB65" s="311">
        <f>AA65</f>
        <v>0</v>
      </c>
      <c r="AC65" s="311">
        <f>AB65</f>
        <v>0</v>
      </c>
      <c r="AD65" s="311">
        <f>IF($V$1=2,AC65,AC62)</f>
        <v>0</v>
      </c>
    </row>
    <row r="66" spans="1:26" ht="13.5" customHeight="1" hidden="1">
      <c r="A66" s="653" t="s">
        <v>102</v>
      </c>
      <c r="B66" s="623" t="s">
        <v>55</v>
      </c>
      <c r="C66" s="555" t="s">
        <v>32</v>
      </c>
      <c r="D66" s="104" t="s">
        <v>56</v>
      </c>
      <c r="E66" s="668" t="s">
        <v>34</v>
      </c>
      <c r="F66" s="671" t="s">
        <v>35</v>
      </c>
      <c r="G66" s="634" t="s">
        <v>36</v>
      </c>
      <c r="H66" s="635" t="s">
        <v>57</v>
      </c>
      <c r="I66" s="568"/>
      <c r="J66" s="882">
        <v>0.22</v>
      </c>
      <c r="K66" s="887"/>
      <c r="L66" s="777" t="s">
        <v>38</v>
      </c>
      <c r="M66" s="377"/>
      <c r="N66" s="882">
        <f>J66+1%</f>
        <v>0.23</v>
      </c>
      <c r="O66" s="883"/>
      <c r="Z66" s="301">
        <f t="shared" si="11"/>
        <v>0.23</v>
      </c>
    </row>
    <row r="67" spans="1:26" ht="13.5" customHeight="1" hidden="1">
      <c r="A67" s="638"/>
      <c r="B67" s="624"/>
      <c r="C67" s="556"/>
      <c r="D67" s="105" t="s">
        <v>58</v>
      </c>
      <c r="E67" s="669"/>
      <c r="F67" s="672"/>
      <c r="G67" s="540"/>
      <c r="H67" s="636"/>
      <c r="I67" s="569"/>
      <c r="J67" s="884">
        <v>0.2</v>
      </c>
      <c r="K67" s="885"/>
      <c r="L67" s="778"/>
      <c r="M67" s="378"/>
      <c r="N67" s="884">
        <f>J67+1%</f>
        <v>0.21000000000000002</v>
      </c>
      <c r="O67" s="886"/>
      <c r="Z67" s="301">
        <f t="shared" si="11"/>
        <v>0.21000000000000002</v>
      </c>
    </row>
    <row r="68" spans="1:26" ht="13.5" customHeight="1" hidden="1">
      <c r="A68" s="638"/>
      <c r="B68" s="628" t="s">
        <v>42</v>
      </c>
      <c r="C68" s="556"/>
      <c r="D68" s="105" t="s">
        <v>56</v>
      </c>
      <c r="E68" s="669"/>
      <c r="F68" s="672"/>
      <c r="G68" s="540"/>
      <c r="H68" s="636"/>
      <c r="I68" s="569"/>
      <c r="J68" s="884">
        <f>J66-2%</f>
        <v>0.2</v>
      </c>
      <c r="K68" s="885"/>
      <c r="L68" s="778"/>
      <c r="M68" s="378"/>
      <c r="N68" s="884">
        <f>J68+1%</f>
        <v>0.21000000000000002</v>
      </c>
      <c r="O68" s="886"/>
      <c r="Z68" s="301">
        <f t="shared" si="11"/>
        <v>0.21000000000000002</v>
      </c>
    </row>
    <row r="69" spans="1:26" ht="13.5" customHeight="1" hidden="1">
      <c r="A69" s="621"/>
      <c r="B69" s="624"/>
      <c r="C69" s="557"/>
      <c r="D69" s="105" t="s">
        <v>58</v>
      </c>
      <c r="E69" s="880"/>
      <c r="F69" s="831"/>
      <c r="G69" s="690"/>
      <c r="H69" s="889"/>
      <c r="I69" s="570"/>
      <c r="J69" s="884">
        <f>J67-2%</f>
        <v>0.18000000000000002</v>
      </c>
      <c r="K69" s="885"/>
      <c r="L69" s="888"/>
      <c r="M69" s="379"/>
      <c r="N69" s="884">
        <f>J69+1%</f>
        <v>0.19000000000000003</v>
      </c>
      <c r="O69" s="886"/>
      <c r="Z69" s="301">
        <f t="shared" si="11"/>
        <v>0.19000000000000003</v>
      </c>
    </row>
    <row r="70" spans="1:26" ht="13.5" customHeight="1" hidden="1">
      <c r="A70" s="638" t="s">
        <v>103</v>
      </c>
      <c r="B70" s="640" t="s">
        <v>55</v>
      </c>
      <c r="C70" s="556" t="s">
        <v>32</v>
      </c>
      <c r="D70" s="125" t="s">
        <v>56</v>
      </c>
      <c r="E70" s="890" t="s">
        <v>34</v>
      </c>
      <c r="F70" s="672" t="s">
        <v>35</v>
      </c>
      <c r="G70" s="540" t="s">
        <v>36</v>
      </c>
      <c r="H70" s="636" t="s">
        <v>57</v>
      </c>
      <c r="I70" s="569"/>
      <c r="J70" s="891">
        <f>J66-2%</f>
        <v>0.2</v>
      </c>
      <c r="K70" s="892"/>
      <c r="L70" s="778" t="s">
        <v>38</v>
      </c>
      <c r="M70" s="378"/>
      <c r="N70" s="891">
        <f aca="true" t="shared" si="16" ref="N70:N89">J70+1%</f>
        <v>0.21000000000000002</v>
      </c>
      <c r="O70" s="893"/>
      <c r="Z70" s="301">
        <f t="shared" si="11"/>
        <v>0.21000000000000002</v>
      </c>
    </row>
    <row r="71" spans="1:26" ht="13.5" customHeight="1" hidden="1">
      <c r="A71" s="638"/>
      <c r="B71" s="624"/>
      <c r="C71" s="556"/>
      <c r="D71" s="105" t="s">
        <v>58</v>
      </c>
      <c r="E71" s="669"/>
      <c r="F71" s="672"/>
      <c r="G71" s="540"/>
      <c r="H71" s="636"/>
      <c r="I71" s="569"/>
      <c r="J71" s="884">
        <f>J67-2%</f>
        <v>0.18000000000000002</v>
      </c>
      <c r="K71" s="885"/>
      <c r="L71" s="888"/>
      <c r="M71" s="379"/>
      <c r="N71" s="884">
        <f t="shared" si="16"/>
        <v>0.19000000000000003</v>
      </c>
      <c r="O71" s="886"/>
      <c r="Z71" s="301">
        <f t="shared" si="11"/>
        <v>0.19000000000000003</v>
      </c>
    </row>
    <row r="72" spans="1:26" ht="13.5" customHeight="1" hidden="1">
      <c r="A72" s="638"/>
      <c r="B72" s="628" t="s">
        <v>42</v>
      </c>
      <c r="C72" s="556"/>
      <c r="D72" s="105" t="s">
        <v>56</v>
      </c>
      <c r="E72" s="669"/>
      <c r="F72" s="672"/>
      <c r="G72" s="540"/>
      <c r="H72" s="636"/>
      <c r="I72" s="569"/>
      <c r="J72" s="884">
        <f>J68-2%</f>
        <v>0.18000000000000002</v>
      </c>
      <c r="K72" s="885"/>
      <c r="L72" s="894" t="s">
        <v>38</v>
      </c>
      <c r="M72" s="380"/>
      <c r="N72" s="884">
        <f>J72+1%</f>
        <v>0.19000000000000003</v>
      </c>
      <c r="O72" s="886"/>
      <c r="Z72" s="301">
        <f t="shared" si="11"/>
        <v>0.19000000000000003</v>
      </c>
    </row>
    <row r="73" spans="1:26" ht="13.5" customHeight="1" hidden="1">
      <c r="A73" s="638"/>
      <c r="B73" s="640"/>
      <c r="C73" s="556"/>
      <c r="D73" s="126" t="s">
        <v>58</v>
      </c>
      <c r="E73" s="670"/>
      <c r="F73" s="672"/>
      <c r="G73" s="540"/>
      <c r="H73" s="636"/>
      <c r="I73" s="569"/>
      <c r="J73" s="895">
        <f>J69-2%</f>
        <v>0.16000000000000003</v>
      </c>
      <c r="K73" s="896"/>
      <c r="L73" s="778"/>
      <c r="M73" s="378"/>
      <c r="N73" s="895">
        <f>J73+1%</f>
        <v>0.17000000000000004</v>
      </c>
      <c r="O73" s="897"/>
      <c r="Z73" s="301">
        <f t="shared" si="11"/>
        <v>0.17000000000000004</v>
      </c>
    </row>
    <row r="74" spans="1:26" ht="13.5" customHeight="1" hidden="1">
      <c r="A74" s="653" t="s">
        <v>104</v>
      </c>
      <c r="B74" s="623" t="s">
        <v>55</v>
      </c>
      <c r="C74" s="555" t="s">
        <v>32</v>
      </c>
      <c r="D74" s="104" t="s">
        <v>56</v>
      </c>
      <c r="E74" s="668" t="s">
        <v>105</v>
      </c>
      <c r="F74" s="671" t="s">
        <v>84</v>
      </c>
      <c r="G74" s="634" t="s">
        <v>36</v>
      </c>
      <c r="H74" s="635" t="s">
        <v>63</v>
      </c>
      <c r="I74" s="568"/>
      <c r="J74" s="882">
        <v>0.175</v>
      </c>
      <c r="K74" s="887"/>
      <c r="L74" s="777" t="s">
        <v>38</v>
      </c>
      <c r="M74" s="377"/>
      <c r="N74" s="882">
        <f t="shared" si="16"/>
        <v>0.185</v>
      </c>
      <c r="O74" s="883"/>
      <c r="Z74" s="301">
        <f t="shared" si="11"/>
        <v>0.185</v>
      </c>
    </row>
    <row r="75" spans="1:26" ht="13.5" customHeight="1" hidden="1">
      <c r="A75" s="638"/>
      <c r="B75" s="640"/>
      <c r="C75" s="557"/>
      <c r="D75" s="105" t="s">
        <v>58</v>
      </c>
      <c r="E75" s="669"/>
      <c r="F75" s="672"/>
      <c r="G75" s="540"/>
      <c r="H75" s="889"/>
      <c r="I75" s="570"/>
      <c r="J75" s="884">
        <v>0.155</v>
      </c>
      <c r="K75" s="885"/>
      <c r="L75" s="888"/>
      <c r="M75" s="379"/>
      <c r="N75" s="884">
        <f t="shared" si="16"/>
        <v>0.165</v>
      </c>
      <c r="O75" s="886"/>
      <c r="Z75" s="301">
        <f t="shared" si="11"/>
        <v>0.165</v>
      </c>
    </row>
    <row r="76" spans="1:26" ht="13.5" customHeight="1" hidden="1">
      <c r="A76" s="638"/>
      <c r="B76" s="640"/>
      <c r="C76" s="548" t="s">
        <v>64</v>
      </c>
      <c r="D76" s="105" t="s">
        <v>56</v>
      </c>
      <c r="E76" s="669"/>
      <c r="F76" s="672"/>
      <c r="G76" s="540"/>
      <c r="H76" s="846" t="s">
        <v>65</v>
      </c>
      <c r="I76" s="438"/>
      <c r="J76" s="884">
        <f>J74-4%</f>
        <v>0.13499999999999998</v>
      </c>
      <c r="K76" s="885"/>
      <c r="L76" s="532" t="s">
        <v>48</v>
      </c>
      <c r="M76" s="371"/>
      <c r="N76" s="884">
        <f t="shared" si="16"/>
        <v>0.145</v>
      </c>
      <c r="O76" s="886"/>
      <c r="Z76" s="301">
        <f t="shared" si="11"/>
        <v>0.145</v>
      </c>
    </row>
    <row r="77" spans="1:26" ht="13.5" customHeight="1" hidden="1">
      <c r="A77" s="638"/>
      <c r="B77" s="624"/>
      <c r="C77" s="557"/>
      <c r="D77" s="105" t="s">
        <v>58</v>
      </c>
      <c r="E77" s="880"/>
      <c r="F77" s="672"/>
      <c r="G77" s="540"/>
      <c r="H77" s="848"/>
      <c r="I77" s="440"/>
      <c r="J77" s="884">
        <v>0.115</v>
      </c>
      <c r="K77" s="885"/>
      <c r="L77" s="530"/>
      <c r="M77" s="369"/>
      <c r="N77" s="884">
        <f t="shared" si="16"/>
        <v>0.125</v>
      </c>
      <c r="O77" s="886"/>
      <c r="Z77" s="301">
        <f t="shared" si="11"/>
        <v>0.125</v>
      </c>
    </row>
    <row r="78" spans="1:26" ht="13.5" customHeight="1" hidden="1">
      <c r="A78" s="638"/>
      <c r="B78" s="628" t="s">
        <v>42</v>
      </c>
      <c r="C78" s="548" t="s">
        <v>32</v>
      </c>
      <c r="D78" s="105" t="s">
        <v>56</v>
      </c>
      <c r="E78" s="669" t="s">
        <v>105</v>
      </c>
      <c r="F78" s="672"/>
      <c r="G78" s="540"/>
      <c r="H78" s="898" t="s">
        <v>63</v>
      </c>
      <c r="I78" s="571"/>
      <c r="J78" s="884">
        <f>J74-2%</f>
        <v>0.155</v>
      </c>
      <c r="K78" s="885"/>
      <c r="L78" s="894" t="s">
        <v>38</v>
      </c>
      <c r="M78" s="380"/>
      <c r="N78" s="884">
        <f t="shared" si="16"/>
        <v>0.165</v>
      </c>
      <c r="O78" s="886"/>
      <c r="Z78" s="301">
        <f t="shared" si="11"/>
        <v>0.165</v>
      </c>
    </row>
    <row r="79" spans="1:26" ht="13.5" customHeight="1" hidden="1">
      <c r="A79" s="638"/>
      <c r="B79" s="640"/>
      <c r="C79" s="557"/>
      <c r="D79" s="105" t="s">
        <v>58</v>
      </c>
      <c r="E79" s="669"/>
      <c r="F79" s="672"/>
      <c r="G79" s="540"/>
      <c r="H79" s="889"/>
      <c r="I79" s="570"/>
      <c r="J79" s="884">
        <f>J75-2%</f>
        <v>0.135</v>
      </c>
      <c r="K79" s="885"/>
      <c r="L79" s="888"/>
      <c r="M79" s="379"/>
      <c r="N79" s="884">
        <f t="shared" si="16"/>
        <v>0.14500000000000002</v>
      </c>
      <c r="O79" s="886"/>
      <c r="Z79" s="301">
        <f t="shared" si="11"/>
        <v>0.14500000000000002</v>
      </c>
    </row>
    <row r="80" spans="1:26" ht="13.5" customHeight="1" hidden="1">
      <c r="A80" s="638"/>
      <c r="B80" s="640"/>
      <c r="C80" s="548" t="s">
        <v>64</v>
      </c>
      <c r="D80" s="105" t="s">
        <v>56</v>
      </c>
      <c r="E80" s="669"/>
      <c r="F80" s="672"/>
      <c r="G80" s="540"/>
      <c r="H80" s="846" t="s">
        <v>65</v>
      </c>
      <c r="I80" s="438"/>
      <c r="J80" s="884">
        <f>J76-2%</f>
        <v>0.11499999999999998</v>
      </c>
      <c r="K80" s="885"/>
      <c r="L80" s="532" t="s">
        <v>48</v>
      </c>
      <c r="M80" s="371"/>
      <c r="N80" s="884">
        <f t="shared" si="16"/>
        <v>0.12499999999999997</v>
      </c>
      <c r="O80" s="886"/>
      <c r="Z80" s="301">
        <f t="shared" si="11"/>
        <v>0.12499999999999997</v>
      </c>
    </row>
    <row r="81" spans="1:26" ht="13.5" customHeight="1" hidden="1">
      <c r="A81" s="639"/>
      <c r="B81" s="629"/>
      <c r="C81" s="549"/>
      <c r="D81" s="106" t="s">
        <v>58</v>
      </c>
      <c r="E81" s="670"/>
      <c r="F81" s="673"/>
      <c r="G81" s="533"/>
      <c r="H81" s="859"/>
      <c r="I81" s="441"/>
      <c r="J81" s="899">
        <f>J77-2%</f>
        <v>0.095</v>
      </c>
      <c r="K81" s="900"/>
      <c r="L81" s="539"/>
      <c r="M81" s="381"/>
      <c r="N81" s="899">
        <f t="shared" si="16"/>
        <v>0.105</v>
      </c>
      <c r="O81" s="901"/>
      <c r="Z81" s="301">
        <f t="shared" si="11"/>
        <v>0.105</v>
      </c>
    </row>
    <row r="82" spans="1:26" ht="13.5" customHeight="1" hidden="1">
      <c r="A82" s="638" t="s">
        <v>106</v>
      </c>
      <c r="B82" s="640" t="s">
        <v>55</v>
      </c>
      <c r="C82" s="556" t="s">
        <v>32</v>
      </c>
      <c r="D82" s="125" t="s">
        <v>56</v>
      </c>
      <c r="E82" s="668" t="s">
        <v>105</v>
      </c>
      <c r="F82" s="672" t="s">
        <v>86</v>
      </c>
      <c r="G82" s="540" t="s">
        <v>36</v>
      </c>
      <c r="H82" s="636" t="s">
        <v>63</v>
      </c>
      <c r="I82" s="569"/>
      <c r="J82" s="891">
        <f>J74-2%</f>
        <v>0.155</v>
      </c>
      <c r="K82" s="892"/>
      <c r="L82" s="778" t="s">
        <v>38</v>
      </c>
      <c r="M82" s="378"/>
      <c r="N82" s="891">
        <f t="shared" si="16"/>
        <v>0.165</v>
      </c>
      <c r="O82" s="893"/>
      <c r="Z82" s="301">
        <f t="shared" si="11"/>
        <v>0.165</v>
      </c>
    </row>
    <row r="83" spans="1:26" ht="13.5" customHeight="1" hidden="1">
      <c r="A83" s="638"/>
      <c r="B83" s="640"/>
      <c r="C83" s="557"/>
      <c r="D83" s="105" t="s">
        <v>58</v>
      </c>
      <c r="E83" s="669"/>
      <c r="F83" s="672"/>
      <c r="G83" s="540"/>
      <c r="H83" s="889"/>
      <c r="I83" s="570"/>
      <c r="J83" s="884">
        <f aca="true" t="shared" si="17" ref="J83:J89">J75-2%</f>
        <v>0.135</v>
      </c>
      <c r="K83" s="885"/>
      <c r="L83" s="888"/>
      <c r="M83" s="379"/>
      <c r="N83" s="884">
        <f t="shared" si="16"/>
        <v>0.14500000000000002</v>
      </c>
      <c r="O83" s="886"/>
      <c r="Z83" s="301">
        <f t="shared" si="11"/>
        <v>0.14500000000000002</v>
      </c>
    </row>
    <row r="84" spans="1:26" ht="13.5" customHeight="1" hidden="1">
      <c r="A84" s="638"/>
      <c r="B84" s="640"/>
      <c r="C84" s="548" t="s">
        <v>64</v>
      </c>
      <c r="D84" s="105" t="s">
        <v>56</v>
      </c>
      <c r="E84" s="669"/>
      <c r="F84" s="672"/>
      <c r="G84" s="540"/>
      <c r="H84" s="846" t="s">
        <v>65</v>
      </c>
      <c r="I84" s="438"/>
      <c r="J84" s="884">
        <f t="shared" si="17"/>
        <v>0.11499999999999998</v>
      </c>
      <c r="K84" s="885"/>
      <c r="L84" s="532" t="s">
        <v>48</v>
      </c>
      <c r="M84" s="371"/>
      <c r="N84" s="884">
        <f t="shared" si="16"/>
        <v>0.12499999999999997</v>
      </c>
      <c r="O84" s="886"/>
      <c r="Z84" s="301">
        <f t="shared" si="11"/>
        <v>0.12499999999999997</v>
      </c>
    </row>
    <row r="85" spans="1:26" ht="13.5" customHeight="1" hidden="1">
      <c r="A85" s="638"/>
      <c r="B85" s="624"/>
      <c r="C85" s="557"/>
      <c r="D85" s="126" t="s">
        <v>58</v>
      </c>
      <c r="E85" s="880"/>
      <c r="F85" s="672"/>
      <c r="G85" s="540"/>
      <c r="H85" s="848"/>
      <c r="I85" s="440"/>
      <c r="J85" s="884">
        <f t="shared" si="17"/>
        <v>0.095</v>
      </c>
      <c r="K85" s="885"/>
      <c r="L85" s="530"/>
      <c r="M85" s="369"/>
      <c r="N85" s="884">
        <f t="shared" si="16"/>
        <v>0.105</v>
      </c>
      <c r="O85" s="886"/>
      <c r="Z85" s="301">
        <f t="shared" si="11"/>
        <v>0.105</v>
      </c>
    </row>
    <row r="86" spans="1:26" ht="13.5" customHeight="1" hidden="1">
      <c r="A86" s="638"/>
      <c r="B86" s="628" t="s">
        <v>42</v>
      </c>
      <c r="C86" s="548" t="s">
        <v>32</v>
      </c>
      <c r="D86" s="105" t="s">
        <v>56</v>
      </c>
      <c r="E86" s="669" t="s">
        <v>105</v>
      </c>
      <c r="F86" s="672"/>
      <c r="G86" s="540"/>
      <c r="H86" s="898" t="s">
        <v>63</v>
      </c>
      <c r="I86" s="571"/>
      <c r="J86" s="884">
        <f t="shared" si="17"/>
        <v>0.135</v>
      </c>
      <c r="K86" s="885"/>
      <c r="L86" s="894" t="s">
        <v>38</v>
      </c>
      <c r="M86" s="380"/>
      <c r="N86" s="884">
        <f t="shared" si="16"/>
        <v>0.14500000000000002</v>
      </c>
      <c r="O86" s="886"/>
      <c r="Z86" s="301">
        <f t="shared" si="11"/>
        <v>0.14500000000000002</v>
      </c>
    </row>
    <row r="87" spans="1:26" ht="13.5" customHeight="1" hidden="1">
      <c r="A87" s="638"/>
      <c r="B87" s="640"/>
      <c r="C87" s="557"/>
      <c r="D87" s="105" t="s">
        <v>58</v>
      </c>
      <c r="E87" s="669"/>
      <c r="F87" s="672"/>
      <c r="G87" s="540"/>
      <c r="H87" s="889"/>
      <c r="I87" s="570"/>
      <c r="J87" s="884">
        <f t="shared" si="17"/>
        <v>0.115</v>
      </c>
      <c r="K87" s="885"/>
      <c r="L87" s="888"/>
      <c r="M87" s="379"/>
      <c r="N87" s="884">
        <f t="shared" si="16"/>
        <v>0.125</v>
      </c>
      <c r="O87" s="886"/>
      <c r="Z87" s="301">
        <f t="shared" si="11"/>
        <v>0.125</v>
      </c>
    </row>
    <row r="88" spans="1:26" ht="13.5" customHeight="1" hidden="1">
      <c r="A88" s="638"/>
      <c r="B88" s="640"/>
      <c r="C88" s="548" t="s">
        <v>64</v>
      </c>
      <c r="D88" s="105" t="s">
        <v>56</v>
      </c>
      <c r="E88" s="669"/>
      <c r="F88" s="672"/>
      <c r="G88" s="540"/>
      <c r="H88" s="846" t="s">
        <v>65</v>
      </c>
      <c r="I88" s="438"/>
      <c r="J88" s="884">
        <f t="shared" si="17"/>
        <v>0.09499999999999997</v>
      </c>
      <c r="K88" s="885"/>
      <c r="L88" s="532" t="s">
        <v>48</v>
      </c>
      <c r="M88" s="371"/>
      <c r="N88" s="884">
        <f t="shared" si="16"/>
        <v>0.10499999999999997</v>
      </c>
      <c r="O88" s="886"/>
      <c r="Z88" s="301">
        <f t="shared" si="11"/>
        <v>0.10499999999999997</v>
      </c>
    </row>
    <row r="89" spans="1:26" ht="13.5" customHeight="1" hidden="1">
      <c r="A89" s="639"/>
      <c r="B89" s="629"/>
      <c r="C89" s="549"/>
      <c r="D89" s="106" t="s">
        <v>58</v>
      </c>
      <c r="E89" s="670"/>
      <c r="F89" s="673"/>
      <c r="G89" s="533"/>
      <c r="H89" s="859"/>
      <c r="I89" s="441"/>
      <c r="J89" s="899">
        <f t="shared" si="17"/>
        <v>0.075</v>
      </c>
      <c r="K89" s="900"/>
      <c r="L89" s="539"/>
      <c r="M89" s="381"/>
      <c r="N89" s="899">
        <f t="shared" si="16"/>
        <v>0.08499999999999999</v>
      </c>
      <c r="O89" s="901"/>
      <c r="Z89" s="301">
        <f t="shared" si="11"/>
        <v>0.08499999999999999</v>
      </c>
    </row>
    <row r="90" spans="1:26" ht="13.5" customHeight="1" hidden="1">
      <c r="A90" s="653" t="s">
        <v>107</v>
      </c>
      <c r="B90" s="623" t="s">
        <v>55</v>
      </c>
      <c r="C90" s="555" t="s">
        <v>32</v>
      </c>
      <c r="D90" s="104" t="s">
        <v>56</v>
      </c>
      <c r="E90" s="668" t="s">
        <v>34</v>
      </c>
      <c r="F90" s="671" t="s">
        <v>35</v>
      </c>
      <c r="G90" s="634" t="s">
        <v>36</v>
      </c>
      <c r="H90" s="635" t="s">
        <v>69</v>
      </c>
      <c r="I90" s="568"/>
      <c r="J90" s="882">
        <v>0.27</v>
      </c>
      <c r="K90" s="887"/>
      <c r="L90" s="777" t="s">
        <v>38</v>
      </c>
      <c r="M90" s="377"/>
      <c r="N90" s="882">
        <f aca="true" t="shared" si="18" ref="N90:N95">J90+1%</f>
        <v>0.28</v>
      </c>
      <c r="O90" s="883"/>
      <c r="Z90" s="301">
        <f t="shared" si="11"/>
        <v>0.28</v>
      </c>
    </row>
    <row r="91" spans="1:26" ht="13.5" customHeight="1" hidden="1">
      <c r="A91" s="638"/>
      <c r="B91" s="624"/>
      <c r="C91" s="556"/>
      <c r="D91" s="105" t="s">
        <v>58</v>
      </c>
      <c r="E91" s="669"/>
      <c r="F91" s="672"/>
      <c r="G91" s="540"/>
      <c r="H91" s="636"/>
      <c r="I91" s="569"/>
      <c r="J91" s="884">
        <v>0.24</v>
      </c>
      <c r="K91" s="885"/>
      <c r="L91" s="778"/>
      <c r="M91" s="378"/>
      <c r="N91" s="884">
        <f t="shared" si="18"/>
        <v>0.25</v>
      </c>
      <c r="O91" s="886"/>
      <c r="Z91" s="301">
        <f t="shared" si="11"/>
        <v>0.25</v>
      </c>
    </row>
    <row r="92" spans="1:26" ht="13.5" customHeight="1" hidden="1">
      <c r="A92" s="638"/>
      <c r="B92" s="628" t="s">
        <v>42</v>
      </c>
      <c r="C92" s="556"/>
      <c r="D92" s="105" t="s">
        <v>56</v>
      </c>
      <c r="E92" s="669"/>
      <c r="F92" s="672"/>
      <c r="G92" s="540"/>
      <c r="H92" s="636"/>
      <c r="I92" s="569"/>
      <c r="J92" s="884">
        <f>J90-2%</f>
        <v>0.25</v>
      </c>
      <c r="K92" s="885"/>
      <c r="L92" s="778"/>
      <c r="M92" s="378"/>
      <c r="N92" s="884">
        <f t="shared" si="18"/>
        <v>0.26</v>
      </c>
      <c r="O92" s="886"/>
      <c r="Z92" s="301">
        <f t="shared" si="11"/>
        <v>0.26</v>
      </c>
    </row>
    <row r="93" spans="1:26" ht="13.5" customHeight="1" hidden="1">
      <c r="A93" s="639"/>
      <c r="B93" s="629"/>
      <c r="C93" s="549"/>
      <c r="D93" s="106" t="s">
        <v>58</v>
      </c>
      <c r="E93" s="670"/>
      <c r="F93" s="673"/>
      <c r="G93" s="533"/>
      <c r="H93" s="637"/>
      <c r="I93" s="569"/>
      <c r="J93" s="899">
        <f>J91-2%</f>
        <v>0.22</v>
      </c>
      <c r="K93" s="900"/>
      <c r="L93" s="779"/>
      <c r="M93" s="378"/>
      <c r="N93" s="899">
        <f t="shared" si="18"/>
        <v>0.23</v>
      </c>
      <c r="O93" s="901"/>
      <c r="Z93" s="301">
        <f t="shared" si="11"/>
        <v>0.23</v>
      </c>
    </row>
    <row r="94" spans="1:26" s="77" customFormat="1" ht="13.5" customHeight="1">
      <c r="A94" s="902" t="s">
        <v>108</v>
      </c>
      <c r="B94" s="905" t="s">
        <v>31</v>
      </c>
      <c r="C94" s="908" t="s">
        <v>32</v>
      </c>
      <c r="D94" s="118" t="s">
        <v>33</v>
      </c>
      <c r="E94" s="555" t="s">
        <v>34</v>
      </c>
      <c r="F94" s="918" t="s">
        <v>35</v>
      </c>
      <c r="G94" s="912" t="s">
        <v>36</v>
      </c>
      <c r="H94" s="839" t="s">
        <v>37</v>
      </c>
      <c r="I94" s="241">
        <v>0.15</v>
      </c>
      <c r="J94" s="515">
        <v>0.155</v>
      </c>
      <c r="K94" s="242">
        <v>0.16</v>
      </c>
      <c r="L94" s="683">
        <v>6000</v>
      </c>
      <c r="M94" s="516">
        <f>I94+1%</f>
        <v>0.16</v>
      </c>
      <c r="N94" s="516">
        <f t="shared" si="18"/>
        <v>0.165</v>
      </c>
      <c r="O94" s="244">
        <f>K94+1%</f>
        <v>0.17</v>
      </c>
      <c r="Q94" s="307" t="s">
        <v>145</v>
      </c>
      <c r="R94" s="301">
        <f>IF($R$1&lt;=12,I94,IF(AND($R$1&gt;12,$R$1&lt;=36),J94,K94))</f>
        <v>0.155</v>
      </c>
      <c r="Y94" s="307" t="s">
        <v>145</v>
      </c>
      <c r="Z94" s="301">
        <f>IF($R$1&lt;=12,M94,IF(AND($R$1&gt;12,$R$1&lt;=36),N94,O94))</f>
        <v>0.165</v>
      </c>
    </row>
    <row r="95" spans="1:26" s="77" customFormat="1" ht="13.5" customHeight="1">
      <c r="A95" s="903"/>
      <c r="B95" s="906"/>
      <c r="C95" s="909"/>
      <c r="D95" s="119" t="s">
        <v>39</v>
      </c>
      <c r="E95" s="556"/>
      <c r="F95" s="916"/>
      <c r="G95" s="913"/>
      <c r="H95" s="840"/>
      <c r="I95" s="169">
        <v>0.145</v>
      </c>
      <c r="J95" s="514">
        <v>0.15</v>
      </c>
      <c r="K95" s="130">
        <v>0.155</v>
      </c>
      <c r="L95" s="534"/>
      <c r="M95" s="517">
        <f>I95+1%</f>
        <v>0.155</v>
      </c>
      <c r="N95" s="517">
        <f t="shared" si="18"/>
        <v>0.16</v>
      </c>
      <c r="O95" s="155">
        <f>K95+1%</f>
        <v>0.165</v>
      </c>
      <c r="Q95" s="307"/>
      <c r="R95" s="301">
        <f aca="true" t="shared" si="19" ref="R95:R125">IF($R$1&lt;=12,I95,IF(AND($R$1&gt;12,$R$1&lt;=36),J95,K95))</f>
        <v>0.15</v>
      </c>
      <c r="Y95" s="307"/>
      <c r="Z95" s="301">
        <f aca="true" t="shared" si="20" ref="Z95:Z125">IF($R$1&lt;=12,M95,IF(AND($R$1&gt;12,$R$1&lt;=36),N95,O95))</f>
        <v>0.16</v>
      </c>
    </row>
    <row r="96" spans="1:26" s="77" customFormat="1" ht="13.5" customHeight="1">
      <c r="A96" s="903"/>
      <c r="B96" s="906"/>
      <c r="C96" s="909"/>
      <c r="D96" s="119" t="s">
        <v>40</v>
      </c>
      <c r="E96" s="556"/>
      <c r="F96" s="916"/>
      <c r="G96" s="913"/>
      <c r="H96" s="840"/>
      <c r="I96" s="169">
        <v>0.14</v>
      </c>
      <c r="J96" s="514">
        <v>0.14</v>
      </c>
      <c r="K96" s="130">
        <v>0.15</v>
      </c>
      <c r="L96" s="534"/>
      <c r="M96" s="517">
        <f aca="true" t="shared" si="21" ref="M96:M101">I96+1%</f>
        <v>0.15000000000000002</v>
      </c>
      <c r="N96" s="517">
        <f aca="true" t="shared" si="22" ref="N96:N101">J96+1%</f>
        <v>0.15000000000000002</v>
      </c>
      <c r="O96" s="155">
        <f aca="true" t="shared" si="23" ref="O96:O101">K96+1%</f>
        <v>0.16</v>
      </c>
      <c r="Q96" s="307"/>
      <c r="R96" s="301">
        <f t="shared" si="19"/>
        <v>0.14</v>
      </c>
      <c r="Y96" s="307"/>
      <c r="Z96" s="301">
        <f t="shared" si="20"/>
        <v>0.15000000000000002</v>
      </c>
    </row>
    <row r="97" spans="1:29" s="77" customFormat="1" ht="13.5" customHeight="1">
      <c r="A97" s="903"/>
      <c r="B97" s="907"/>
      <c r="C97" s="909"/>
      <c r="D97" s="119" t="s">
        <v>41</v>
      </c>
      <c r="E97" s="556"/>
      <c r="F97" s="917"/>
      <c r="G97" s="913"/>
      <c r="H97" s="840"/>
      <c r="I97" s="169">
        <v>0.135</v>
      </c>
      <c r="J97" s="514">
        <v>0.135</v>
      </c>
      <c r="K97" s="130">
        <v>0.14500000000000002</v>
      </c>
      <c r="L97" s="531"/>
      <c r="M97" s="517">
        <f t="shared" si="21"/>
        <v>0.14500000000000002</v>
      </c>
      <c r="N97" s="517">
        <f t="shared" si="22"/>
        <v>0.14500000000000002</v>
      </c>
      <c r="O97" s="155">
        <f t="shared" si="23"/>
        <v>0.15500000000000003</v>
      </c>
      <c r="Q97" s="308"/>
      <c r="R97" s="295">
        <f t="shared" si="19"/>
        <v>0.135</v>
      </c>
      <c r="S97" s="295">
        <f>IF($S$1=0,R94,IF(OR($S$1=10,$S$1=20),R95,IF($S$1=30,R96,IF($S$1=50,R97,0))))</f>
        <v>0.15</v>
      </c>
      <c r="T97" s="312">
        <f>S97</f>
        <v>0.15</v>
      </c>
      <c r="U97" s="312">
        <f>T97</f>
        <v>0.15</v>
      </c>
      <c r="Y97" s="308"/>
      <c r="Z97" s="295">
        <f t="shared" si="20"/>
        <v>0.14500000000000002</v>
      </c>
      <c r="AA97" s="295">
        <f>IF($S$1=0,Z94,IF(OR($S$1=10,$S$1=20),Z95,IF($S$1=30,Z96,IF($S$1=50,Z97,0))))</f>
        <v>0.16</v>
      </c>
      <c r="AB97" s="312">
        <f>AA97</f>
        <v>0.16</v>
      </c>
      <c r="AC97" s="312">
        <f>AB97</f>
        <v>0.16</v>
      </c>
    </row>
    <row r="98" spans="1:26" s="77" customFormat="1" ht="13.5" customHeight="1">
      <c r="A98" s="903"/>
      <c r="B98" s="911" t="s">
        <v>42</v>
      </c>
      <c r="C98" s="909"/>
      <c r="D98" s="121" t="s">
        <v>33</v>
      </c>
      <c r="E98" s="556"/>
      <c r="F98" s="915" t="s">
        <v>35</v>
      </c>
      <c r="G98" s="913"/>
      <c r="H98" s="840"/>
      <c r="I98" s="129">
        <v>0.13</v>
      </c>
      <c r="J98" s="130">
        <v>0.13499999999999998</v>
      </c>
      <c r="K98" s="130">
        <v>0.13999999999999999</v>
      </c>
      <c r="L98" s="837">
        <v>6000</v>
      </c>
      <c r="M98" s="517">
        <f t="shared" si="21"/>
        <v>0.14</v>
      </c>
      <c r="N98" s="517">
        <f t="shared" si="22"/>
        <v>0.145</v>
      </c>
      <c r="O98" s="155">
        <f t="shared" si="23"/>
        <v>0.15</v>
      </c>
      <c r="Q98" s="307" t="s">
        <v>146</v>
      </c>
      <c r="R98" s="301">
        <f t="shared" si="19"/>
        <v>0.13499999999999998</v>
      </c>
      <c r="Y98" s="307" t="s">
        <v>146</v>
      </c>
      <c r="Z98" s="301">
        <f t="shared" si="20"/>
        <v>0.145</v>
      </c>
    </row>
    <row r="99" spans="1:26" s="77" customFormat="1" ht="13.5" customHeight="1">
      <c r="A99" s="903"/>
      <c r="B99" s="906"/>
      <c r="C99" s="909"/>
      <c r="D99" s="119" t="s">
        <v>39</v>
      </c>
      <c r="E99" s="556"/>
      <c r="F99" s="916"/>
      <c r="G99" s="913"/>
      <c r="H99" s="840"/>
      <c r="I99" s="129">
        <v>0.125</v>
      </c>
      <c r="J99" s="130">
        <v>0.13</v>
      </c>
      <c r="K99" s="130">
        <v>0.135</v>
      </c>
      <c r="L99" s="534"/>
      <c r="M99" s="517">
        <f t="shared" si="21"/>
        <v>0.135</v>
      </c>
      <c r="N99" s="517">
        <f t="shared" si="22"/>
        <v>0.14</v>
      </c>
      <c r="O99" s="155">
        <f t="shared" si="23"/>
        <v>0.14500000000000002</v>
      </c>
      <c r="Q99" s="307"/>
      <c r="R99" s="301">
        <f t="shared" si="19"/>
        <v>0.13</v>
      </c>
      <c r="Y99" s="307"/>
      <c r="Z99" s="301">
        <f t="shared" si="20"/>
        <v>0.14</v>
      </c>
    </row>
    <row r="100" spans="1:26" s="77" customFormat="1" ht="13.5" customHeight="1">
      <c r="A100" s="903"/>
      <c r="B100" s="906"/>
      <c r="C100" s="909"/>
      <c r="D100" s="119" t="s">
        <v>40</v>
      </c>
      <c r="E100" s="556"/>
      <c r="F100" s="916"/>
      <c r="G100" s="913"/>
      <c r="H100" s="840"/>
      <c r="I100" s="129">
        <v>0.12</v>
      </c>
      <c r="J100" s="130">
        <v>0.12</v>
      </c>
      <c r="K100" s="130">
        <v>0.13</v>
      </c>
      <c r="L100" s="534"/>
      <c r="M100" s="517">
        <f t="shared" si="21"/>
        <v>0.13</v>
      </c>
      <c r="N100" s="517">
        <f t="shared" si="22"/>
        <v>0.13</v>
      </c>
      <c r="O100" s="155">
        <f t="shared" si="23"/>
        <v>0.14</v>
      </c>
      <c r="Q100" s="307"/>
      <c r="R100" s="301">
        <f t="shared" si="19"/>
        <v>0.12</v>
      </c>
      <c r="Y100" s="307"/>
      <c r="Z100" s="301">
        <f t="shared" si="20"/>
        <v>0.13</v>
      </c>
    </row>
    <row r="101" spans="1:30" s="77" customFormat="1" ht="13.5" customHeight="1" thickBot="1">
      <c r="A101" s="904"/>
      <c r="B101" s="907"/>
      <c r="C101" s="910"/>
      <c r="D101" s="119" t="s">
        <v>41</v>
      </c>
      <c r="E101" s="557"/>
      <c r="F101" s="917"/>
      <c r="G101" s="914"/>
      <c r="H101" s="841"/>
      <c r="I101" s="129">
        <v>0.11500000000000002</v>
      </c>
      <c r="J101" s="130">
        <v>0.11500000000000002</v>
      </c>
      <c r="K101" s="130">
        <v>0.125</v>
      </c>
      <c r="L101" s="531"/>
      <c r="M101" s="517">
        <f t="shared" si="21"/>
        <v>0.12500000000000003</v>
      </c>
      <c r="N101" s="517">
        <f t="shared" si="22"/>
        <v>0.12500000000000003</v>
      </c>
      <c r="O101" s="155">
        <f t="shared" si="23"/>
        <v>0.135</v>
      </c>
      <c r="Q101" s="309"/>
      <c r="R101" s="296">
        <f t="shared" si="19"/>
        <v>0.11500000000000002</v>
      </c>
      <c r="S101" s="296">
        <f>IF($S$1=0,R98,IF(OR($S$1=10,$S$1=20),R99,IF($S$1=30,R100,IF($S$1=50,R101,0))))</f>
        <v>0.13</v>
      </c>
      <c r="T101" s="313">
        <f>S101</f>
        <v>0.13</v>
      </c>
      <c r="U101" s="313">
        <f>T101</f>
        <v>0.13</v>
      </c>
      <c r="V101" s="313">
        <f>IF($V$1=2,U101,U97)</f>
        <v>0.15</v>
      </c>
      <c r="Y101" s="309"/>
      <c r="Z101" s="296">
        <f t="shared" si="20"/>
        <v>0.12500000000000003</v>
      </c>
      <c r="AA101" s="296">
        <f>IF($S$1=0,Z98,IF(OR($S$1=10,$S$1=20),Z99,IF($S$1=30,Z100,IF($S$1=50,Z101,0))))</f>
        <v>0.14</v>
      </c>
      <c r="AB101" s="313">
        <f>AA101</f>
        <v>0.14</v>
      </c>
      <c r="AC101" s="313">
        <f>AB101</f>
        <v>0.14</v>
      </c>
      <c r="AD101" s="313">
        <f>IF($V$1=2,AC101,AC97)</f>
        <v>0.16</v>
      </c>
    </row>
    <row r="102" spans="1:26" s="77" customFormat="1" ht="13.5" customHeight="1">
      <c r="A102" s="930" t="s">
        <v>109</v>
      </c>
      <c r="B102" s="911" t="s">
        <v>31</v>
      </c>
      <c r="C102" s="922" t="s">
        <v>32</v>
      </c>
      <c r="D102" s="119" t="s">
        <v>257</v>
      </c>
      <c r="E102" s="541" t="s">
        <v>105</v>
      </c>
      <c r="F102" s="919" t="s">
        <v>35</v>
      </c>
      <c r="G102" s="927" t="s">
        <v>36</v>
      </c>
      <c r="H102" s="878" t="s">
        <v>45</v>
      </c>
      <c r="I102" s="133">
        <v>0.13</v>
      </c>
      <c r="J102" s="132">
        <v>0.13</v>
      </c>
      <c r="K102" s="132">
        <v>0.13999999999999999</v>
      </c>
      <c r="L102" s="531">
        <v>6000</v>
      </c>
      <c r="M102" s="517">
        <f>I102+1%</f>
        <v>0.14</v>
      </c>
      <c r="N102" s="132">
        <f aca="true" t="shared" si="24" ref="N102:O125">J102+1%</f>
        <v>0.14</v>
      </c>
      <c r="O102" s="155">
        <f t="shared" si="24"/>
        <v>0.15</v>
      </c>
      <c r="Q102" s="307" t="s">
        <v>147</v>
      </c>
      <c r="R102" s="301">
        <f t="shared" si="19"/>
        <v>0.13</v>
      </c>
      <c r="Y102" s="307" t="s">
        <v>147</v>
      </c>
      <c r="Z102" s="301">
        <f t="shared" si="20"/>
        <v>0.14</v>
      </c>
    </row>
    <row r="103" spans="1:26" s="77" customFormat="1" ht="13.5" customHeight="1">
      <c r="A103" s="903"/>
      <c r="B103" s="906"/>
      <c r="C103" s="909"/>
      <c r="D103" s="119" t="s">
        <v>259</v>
      </c>
      <c r="E103" s="546"/>
      <c r="F103" s="920"/>
      <c r="G103" s="928"/>
      <c r="H103" s="849"/>
      <c r="I103" s="133">
        <v>0.125</v>
      </c>
      <c r="J103" s="132">
        <v>0.125</v>
      </c>
      <c r="K103" s="132">
        <v>0.135</v>
      </c>
      <c r="L103" s="531"/>
      <c r="M103" s="517">
        <f aca="true" t="shared" si="25" ref="M103:M125">I103+1%</f>
        <v>0.135</v>
      </c>
      <c r="N103" s="132">
        <v>0.135</v>
      </c>
      <c r="O103" s="155">
        <v>0.145</v>
      </c>
      <c r="Q103" s="307"/>
      <c r="R103" s="301">
        <f t="shared" si="19"/>
        <v>0.125</v>
      </c>
      <c r="Y103" s="307"/>
      <c r="Z103" s="301">
        <f t="shared" si="20"/>
        <v>0.135</v>
      </c>
    </row>
    <row r="104" spans="1:26" s="77" customFormat="1" ht="13.5" customHeight="1">
      <c r="A104" s="903"/>
      <c r="B104" s="906"/>
      <c r="C104" s="909"/>
      <c r="D104" s="119" t="s">
        <v>40</v>
      </c>
      <c r="E104" s="546"/>
      <c r="F104" s="920"/>
      <c r="G104" s="928"/>
      <c r="H104" s="849"/>
      <c r="I104" s="131">
        <v>0.12</v>
      </c>
      <c r="J104" s="517">
        <v>0.12</v>
      </c>
      <c r="K104" s="132">
        <v>0.13</v>
      </c>
      <c r="L104" s="924"/>
      <c r="M104" s="517">
        <f t="shared" si="25"/>
        <v>0.13</v>
      </c>
      <c r="N104" s="132">
        <f t="shared" si="24"/>
        <v>0.13</v>
      </c>
      <c r="O104" s="155">
        <f t="shared" si="24"/>
        <v>0.14</v>
      </c>
      <c r="Q104" s="307" t="s">
        <v>151</v>
      </c>
      <c r="R104" s="301">
        <f t="shared" si="19"/>
        <v>0.12</v>
      </c>
      <c r="Y104" s="307" t="s">
        <v>151</v>
      </c>
      <c r="Z104" s="301">
        <f t="shared" si="20"/>
        <v>0.13</v>
      </c>
    </row>
    <row r="105" spans="1:29" s="77" customFormat="1" ht="13.5" customHeight="1">
      <c r="A105" s="903"/>
      <c r="B105" s="906"/>
      <c r="C105" s="910"/>
      <c r="D105" s="119" t="s">
        <v>41</v>
      </c>
      <c r="E105" s="546"/>
      <c r="F105" s="920"/>
      <c r="G105" s="928"/>
      <c r="H105" s="850"/>
      <c r="I105" s="131">
        <v>0.11500000000000002</v>
      </c>
      <c r="J105" s="517">
        <v>0.12</v>
      </c>
      <c r="K105" s="132">
        <v>0.125</v>
      </c>
      <c r="L105" s="924"/>
      <c r="M105" s="517">
        <f t="shared" si="25"/>
        <v>0.12500000000000003</v>
      </c>
      <c r="N105" s="132">
        <f t="shared" si="24"/>
        <v>0.13</v>
      </c>
      <c r="O105" s="155">
        <f t="shared" si="24"/>
        <v>0.135</v>
      </c>
      <c r="Q105" s="308"/>
      <c r="R105" s="295">
        <f t="shared" si="19"/>
        <v>0.12</v>
      </c>
      <c r="S105" s="295">
        <f>IF($S$1=0,R110,IF($S$1=10,R102,IF($S$1=20,R103,IF($S$1=30,R104,IF($S$1=50,R105,0)))))</f>
        <v>0.13</v>
      </c>
      <c r="T105" s="299"/>
      <c r="U105" s="299"/>
      <c r="Y105" s="308"/>
      <c r="Z105" s="295">
        <f t="shared" si="20"/>
        <v>0.13</v>
      </c>
      <c r="AA105" s="295">
        <f>IF($S$1=0,Z110,IF($S$1=10,Z102,IF($S$1=20,Z103,IF($S$1=30,Z104,IF($S$1=50,Z105,0)))))</f>
        <v>0.14</v>
      </c>
      <c r="AB105" s="299"/>
      <c r="AC105" s="299"/>
    </row>
    <row r="106" spans="1:26" s="77" customFormat="1" ht="13.5" customHeight="1">
      <c r="A106" s="903"/>
      <c r="B106" s="906"/>
      <c r="C106" s="922" t="s">
        <v>46</v>
      </c>
      <c r="D106" s="119" t="s">
        <v>257</v>
      </c>
      <c r="E106" s="546"/>
      <c r="F106" s="920"/>
      <c r="G106" s="928"/>
      <c r="H106" s="842" t="s">
        <v>47</v>
      </c>
      <c r="I106" s="131">
        <v>0.1</v>
      </c>
      <c r="J106" s="517">
        <v>0.1</v>
      </c>
      <c r="K106" s="132">
        <v>0.10999999999999999</v>
      </c>
      <c r="L106" s="924">
        <v>200</v>
      </c>
      <c r="M106" s="517">
        <f t="shared" si="25"/>
        <v>0.11</v>
      </c>
      <c r="N106" s="132">
        <f t="shared" si="24"/>
        <v>0.11</v>
      </c>
      <c r="O106" s="155">
        <f t="shared" si="24"/>
        <v>0.11999999999999998</v>
      </c>
      <c r="Q106" s="307" t="s">
        <v>148</v>
      </c>
      <c r="R106" s="301">
        <f t="shared" si="19"/>
        <v>0.1</v>
      </c>
      <c r="Y106" s="307" t="s">
        <v>148</v>
      </c>
      <c r="Z106" s="301">
        <f t="shared" si="20"/>
        <v>0.11</v>
      </c>
    </row>
    <row r="107" spans="1:26" s="77" customFormat="1" ht="13.5" customHeight="1">
      <c r="A107" s="903"/>
      <c r="B107" s="906"/>
      <c r="C107" s="909"/>
      <c r="D107" s="119" t="s">
        <v>258</v>
      </c>
      <c r="E107" s="546"/>
      <c r="F107" s="920"/>
      <c r="G107" s="928"/>
      <c r="H107" s="843"/>
      <c r="I107" s="131">
        <v>0.095</v>
      </c>
      <c r="J107" s="517">
        <v>0.095</v>
      </c>
      <c r="K107" s="132">
        <v>0.10500000000000001</v>
      </c>
      <c r="L107" s="924"/>
      <c r="M107" s="517">
        <f t="shared" si="25"/>
        <v>0.105</v>
      </c>
      <c r="N107" s="132">
        <f t="shared" si="24"/>
        <v>0.105</v>
      </c>
      <c r="O107" s="155">
        <f t="shared" si="24"/>
        <v>0.115</v>
      </c>
      <c r="Q107" s="307"/>
      <c r="R107" s="301">
        <f t="shared" si="19"/>
        <v>0.095</v>
      </c>
      <c r="Y107" s="307"/>
      <c r="Z107" s="301">
        <f t="shared" si="20"/>
        <v>0.105</v>
      </c>
    </row>
    <row r="108" spans="1:26" s="77" customFormat="1" ht="13.5" customHeight="1">
      <c r="A108" s="903"/>
      <c r="B108" s="906"/>
      <c r="C108" s="909"/>
      <c r="D108" s="119" t="s">
        <v>40</v>
      </c>
      <c r="E108" s="546"/>
      <c r="F108" s="920"/>
      <c r="G108" s="928"/>
      <c r="H108" s="843"/>
      <c r="I108" s="131">
        <v>0.09</v>
      </c>
      <c r="J108" s="517">
        <v>0.09</v>
      </c>
      <c r="K108" s="132">
        <v>0.1</v>
      </c>
      <c r="L108" s="924"/>
      <c r="M108" s="517">
        <f t="shared" si="25"/>
        <v>0.09999999999999999</v>
      </c>
      <c r="N108" s="132">
        <f t="shared" si="24"/>
        <v>0.09999999999999999</v>
      </c>
      <c r="O108" s="155">
        <f t="shared" si="24"/>
        <v>0.11</v>
      </c>
      <c r="Q108" s="307" t="s">
        <v>151</v>
      </c>
      <c r="R108" s="301">
        <f t="shared" si="19"/>
        <v>0.09</v>
      </c>
      <c r="Y108" s="307" t="s">
        <v>151</v>
      </c>
      <c r="Z108" s="301">
        <f t="shared" si="20"/>
        <v>0.09999999999999999</v>
      </c>
    </row>
    <row r="109" spans="1:29" s="77" customFormat="1" ht="13.5" customHeight="1">
      <c r="A109" s="903"/>
      <c r="B109" s="906"/>
      <c r="C109" s="910"/>
      <c r="D109" s="119" t="s">
        <v>41</v>
      </c>
      <c r="E109" s="550"/>
      <c r="F109" s="921"/>
      <c r="G109" s="928"/>
      <c r="H109" s="844"/>
      <c r="I109" s="131">
        <v>0.08499999999999999</v>
      </c>
      <c r="J109" s="517">
        <v>0.09</v>
      </c>
      <c r="K109" s="132">
        <v>0.095</v>
      </c>
      <c r="L109" s="924"/>
      <c r="M109" s="517">
        <f t="shared" si="25"/>
        <v>0.09499999999999999</v>
      </c>
      <c r="N109" s="132">
        <f t="shared" si="24"/>
        <v>0.09999999999999999</v>
      </c>
      <c r="O109" s="155">
        <f t="shared" si="24"/>
        <v>0.105</v>
      </c>
      <c r="Q109" s="308"/>
      <c r="R109" s="295">
        <f t="shared" si="19"/>
        <v>0.09</v>
      </c>
      <c r="S109" s="295">
        <f>IF($S$1=0,R114,IF($S$1=10,R106,IF($S$1=20,R107,IF($S$1=30,R108,IF($S$1=50,R109,0)))))</f>
        <v>0.1</v>
      </c>
      <c r="T109" s="295">
        <f>IF($T$1&lt;&gt;1,S109,S105)</f>
        <v>0.13</v>
      </c>
      <c r="U109" s="312"/>
      <c r="Y109" s="308"/>
      <c r="Z109" s="295">
        <f t="shared" si="20"/>
        <v>0.09999999999999999</v>
      </c>
      <c r="AA109" s="295">
        <f>IF($S$1=0,Z114,IF($S$1=10,Z106,IF($S$1=20,Z107,IF($S$1=30,Z108,IF($S$1=50,Z109,0)))))</f>
        <v>0.11</v>
      </c>
      <c r="AB109" s="295">
        <f>IF($T$1&lt;&gt;1,AA109,AA105)</f>
        <v>0.14</v>
      </c>
      <c r="AC109" s="312"/>
    </row>
    <row r="110" spans="1:26" s="128" customFormat="1" ht="13.5" customHeight="1">
      <c r="A110" s="903"/>
      <c r="B110" s="906"/>
      <c r="C110" s="922" t="s">
        <v>32</v>
      </c>
      <c r="D110" s="119" t="s">
        <v>33</v>
      </c>
      <c r="E110" s="541" t="s">
        <v>34</v>
      </c>
      <c r="F110" s="915" t="s">
        <v>49</v>
      </c>
      <c r="G110" s="928"/>
      <c r="H110" s="845" t="s">
        <v>50</v>
      </c>
      <c r="I110" s="131">
        <v>0.12000000000000001</v>
      </c>
      <c r="J110" s="517">
        <v>0.12000000000000001</v>
      </c>
      <c r="K110" s="132">
        <v>0.13</v>
      </c>
      <c r="L110" s="924">
        <v>6000</v>
      </c>
      <c r="M110" s="517">
        <f t="shared" si="25"/>
        <v>0.13</v>
      </c>
      <c r="N110" s="132">
        <f t="shared" si="24"/>
        <v>0.13</v>
      </c>
      <c r="O110" s="155">
        <f t="shared" si="24"/>
        <v>0.14</v>
      </c>
      <c r="Q110" s="307" t="s">
        <v>147</v>
      </c>
      <c r="R110" s="301">
        <f t="shared" si="19"/>
        <v>0.12000000000000001</v>
      </c>
      <c r="Y110" s="307" t="s">
        <v>147</v>
      </c>
      <c r="Z110" s="301">
        <f t="shared" si="20"/>
        <v>0.13</v>
      </c>
    </row>
    <row r="111" spans="1:26" s="128" customFormat="1" ht="13.5" customHeight="1">
      <c r="A111" s="903"/>
      <c r="B111" s="906"/>
      <c r="C111" s="909"/>
      <c r="D111" s="119" t="s">
        <v>39</v>
      </c>
      <c r="E111" s="546"/>
      <c r="F111" s="916"/>
      <c r="G111" s="928"/>
      <c r="H111" s="840"/>
      <c r="I111" s="131">
        <v>0.11499999999999999</v>
      </c>
      <c r="J111" s="517">
        <v>0.12</v>
      </c>
      <c r="K111" s="132">
        <v>0.13</v>
      </c>
      <c r="L111" s="924"/>
      <c r="M111" s="517">
        <f t="shared" si="25"/>
        <v>0.12499999999999999</v>
      </c>
      <c r="N111" s="132">
        <f t="shared" si="24"/>
        <v>0.13</v>
      </c>
      <c r="O111" s="155">
        <f t="shared" si="24"/>
        <v>0.14</v>
      </c>
      <c r="Q111" s="307" t="s">
        <v>152</v>
      </c>
      <c r="R111" s="301">
        <f t="shared" si="19"/>
        <v>0.12</v>
      </c>
      <c r="Y111" s="307" t="s">
        <v>152</v>
      </c>
      <c r="Z111" s="301">
        <f t="shared" si="20"/>
        <v>0.13</v>
      </c>
    </row>
    <row r="112" spans="1:26" s="128" customFormat="1" ht="13.5" customHeight="1">
      <c r="A112" s="903"/>
      <c r="B112" s="906"/>
      <c r="C112" s="909"/>
      <c r="D112" s="119" t="s">
        <v>40</v>
      </c>
      <c r="E112" s="546"/>
      <c r="F112" s="916"/>
      <c r="G112" s="928"/>
      <c r="H112" s="840"/>
      <c r="I112" s="131">
        <v>0.11000000000000001</v>
      </c>
      <c r="J112" s="517">
        <v>0.11499999999999999</v>
      </c>
      <c r="K112" s="132">
        <v>0.12</v>
      </c>
      <c r="L112" s="924"/>
      <c r="M112" s="517">
        <f t="shared" si="25"/>
        <v>0.12000000000000001</v>
      </c>
      <c r="N112" s="132">
        <f t="shared" si="24"/>
        <v>0.12499999999999999</v>
      </c>
      <c r="O112" s="155">
        <f t="shared" si="24"/>
        <v>0.13</v>
      </c>
      <c r="Q112" s="307"/>
      <c r="R112" s="301">
        <f t="shared" si="19"/>
        <v>0.11499999999999999</v>
      </c>
      <c r="Y112" s="307"/>
      <c r="Z112" s="301">
        <f t="shared" si="20"/>
        <v>0.12499999999999999</v>
      </c>
    </row>
    <row r="113" spans="1:29" s="128" customFormat="1" ht="13.5" customHeight="1">
      <c r="A113" s="903"/>
      <c r="B113" s="906"/>
      <c r="C113" s="910"/>
      <c r="D113" s="119" t="s">
        <v>41</v>
      </c>
      <c r="E113" s="546"/>
      <c r="F113" s="916"/>
      <c r="G113" s="928"/>
      <c r="H113" s="841"/>
      <c r="I113" s="131">
        <v>0.10500000000000001</v>
      </c>
      <c r="J113" s="517">
        <v>0.11000000000000001</v>
      </c>
      <c r="K113" s="132">
        <v>0.11499999999999999</v>
      </c>
      <c r="L113" s="924"/>
      <c r="M113" s="517">
        <f t="shared" si="25"/>
        <v>0.115</v>
      </c>
      <c r="N113" s="132">
        <f t="shared" si="24"/>
        <v>0.12000000000000001</v>
      </c>
      <c r="O113" s="155">
        <f t="shared" si="24"/>
        <v>0.12499999999999999</v>
      </c>
      <c r="Q113" s="308"/>
      <c r="R113" s="295">
        <f t="shared" si="19"/>
        <v>0.11000000000000001</v>
      </c>
      <c r="S113" s="295">
        <f>IF($S$1=0,R110,IF(OR($S$1=10,$S$1=20),R111,IF($S$1=30,R112,IF($S$1=50,R113,0))))</f>
        <v>0.12</v>
      </c>
      <c r="T113" s="300"/>
      <c r="U113" s="300"/>
      <c r="Y113" s="308"/>
      <c r="Z113" s="295">
        <f t="shared" si="20"/>
        <v>0.12000000000000001</v>
      </c>
      <c r="AA113" s="295">
        <f>IF($S$1=0,Z110,IF(OR($S$1=10,$S$1=20),Z111,IF($S$1=30,Z112,IF($S$1=50,Z113,0))))</f>
        <v>0.13</v>
      </c>
      <c r="AB113" s="300"/>
      <c r="AC113" s="300"/>
    </row>
    <row r="114" spans="1:26" s="128" customFormat="1" ht="13.5" customHeight="1">
      <c r="A114" s="903"/>
      <c r="B114" s="906"/>
      <c r="C114" s="922" t="s">
        <v>46</v>
      </c>
      <c r="D114" s="119" t="s">
        <v>33</v>
      </c>
      <c r="E114" s="546"/>
      <c r="F114" s="916"/>
      <c r="G114" s="928"/>
      <c r="H114" s="846" t="s">
        <v>51</v>
      </c>
      <c r="I114" s="131">
        <v>0.09000000000000001</v>
      </c>
      <c r="J114" s="517">
        <v>0.09000000000000001</v>
      </c>
      <c r="K114" s="132">
        <v>0.09999999999999999</v>
      </c>
      <c r="L114" s="924">
        <v>200</v>
      </c>
      <c r="M114" s="517">
        <f t="shared" si="25"/>
        <v>0.1</v>
      </c>
      <c r="N114" s="132">
        <f t="shared" si="24"/>
        <v>0.1</v>
      </c>
      <c r="O114" s="155">
        <f t="shared" si="24"/>
        <v>0.10999999999999999</v>
      </c>
      <c r="Q114" s="307" t="s">
        <v>148</v>
      </c>
      <c r="R114" s="301">
        <f t="shared" si="19"/>
        <v>0.09000000000000001</v>
      </c>
      <c r="Y114" s="307" t="s">
        <v>148</v>
      </c>
      <c r="Z114" s="301">
        <f t="shared" si="20"/>
        <v>0.1</v>
      </c>
    </row>
    <row r="115" spans="1:26" s="128" customFormat="1" ht="13.5" customHeight="1">
      <c r="A115" s="903"/>
      <c r="B115" s="906"/>
      <c r="C115" s="909"/>
      <c r="D115" s="119" t="s">
        <v>39</v>
      </c>
      <c r="E115" s="546"/>
      <c r="F115" s="916"/>
      <c r="G115" s="928"/>
      <c r="H115" s="847"/>
      <c r="I115" s="131">
        <v>0.08499999999999999</v>
      </c>
      <c r="J115" s="517">
        <v>0.09</v>
      </c>
      <c r="K115" s="132">
        <v>0.1</v>
      </c>
      <c r="L115" s="924"/>
      <c r="M115" s="517">
        <f t="shared" si="25"/>
        <v>0.09499999999999999</v>
      </c>
      <c r="N115" s="132">
        <f t="shared" si="24"/>
        <v>0.09999999999999999</v>
      </c>
      <c r="O115" s="155">
        <f t="shared" si="24"/>
        <v>0.11</v>
      </c>
      <c r="Q115" s="307" t="s">
        <v>152</v>
      </c>
      <c r="R115" s="301">
        <f t="shared" si="19"/>
        <v>0.09</v>
      </c>
      <c r="Y115" s="307" t="s">
        <v>152</v>
      </c>
      <c r="Z115" s="301">
        <f t="shared" si="20"/>
        <v>0.09999999999999999</v>
      </c>
    </row>
    <row r="116" spans="1:26" s="128" customFormat="1" ht="13.5" customHeight="1">
      <c r="A116" s="903"/>
      <c r="B116" s="906"/>
      <c r="C116" s="909"/>
      <c r="D116" s="119" t="s">
        <v>40</v>
      </c>
      <c r="E116" s="546"/>
      <c r="F116" s="916"/>
      <c r="G116" s="928"/>
      <c r="H116" s="847"/>
      <c r="I116" s="131">
        <v>0.08000000000000002</v>
      </c>
      <c r="J116" s="517">
        <v>0.08499999999999999</v>
      </c>
      <c r="K116" s="132">
        <v>0.09</v>
      </c>
      <c r="L116" s="924"/>
      <c r="M116" s="517">
        <f t="shared" si="25"/>
        <v>0.09000000000000001</v>
      </c>
      <c r="N116" s="132">
        <f t="shared" si="24"/>
        <v>0.09499999999999999</v>
      </c>
      <c r="O116" s="155">
        <f t="shared" si="24"/>
        <v>0.09999999999999999</v>
      </c>
      <c r="Q116" s="307"/>
      <c r="R116" s="301">
        <f t="shared" si="19"/>
        <v>0.08499999999999999</v>
      </c>
      <c r="Y116" s="307"/>
      <c r="Z116" s="301">
        <f t="shared" si="20"/>
        <v>0.09499999999999999</v>
      </c>
    </row>
    <row r="117" spans="1:29" s="128" customFormat="1" ht="14.25" customHeight="1">
      <c r="A117" s="903"/>
      <c r="B117" s="907"/>
      <c r="C117" s="910"/>
      <c r="D117" s="119" t="s">
        <v>41</v>
      </c>
      <c r="E117" s="550"/>
      <c r="F117" s="917"/>
      <c r="G117" s="928"/>
      <c r="H117" s="848"/>
      <c r="I117" s="131">
        <v>0.07500000000000001</v>
      </c>
      <c r="J117" s="517">
        <v>0.08000000000000002</v>
      </c>
      <c r="K117" s="132">
        <v>0.08499999999999999</v>
      </c>
      <c r="L117" s="924"/>
      <c r="M117" s="517">
        <f t="shared" si="25"/>
        <v>0.085</v>
      </c>
      <c r="N117" s="132">
        <f t="shared" si="24"/>
        <v>0.09000000000000001</v>
      </c>
      <c r="O117" s="155">
        <f t="shared" si="24"/>
        <v>0.09499999999999999</v>
      </c>
      <c r="Q117" s="308"/>
      <c r="R117" s="295">
        <f t="shared" si="19"/>
        <v>0.08000000000000002</v>
      </c>
      <c r="S117" s="295">
        <f>IF($S$1=0,R114,IF(OR($S$1=10,$S$1=20),R115,IF($S$1=30,R116,IF($S$1=50,R117,0))))</f>
        <v>0.09</v>
      </c>
      <c r="T117" s="295">
        <f>IF($T$1&lt;&gt;1,S117,S113)</f>
        <v>0.12</v>
      </c>
      <c r="U117" s="295">
        <f>IF($U$1="да",T117,T109)</f>
        <v>0.12</v>
      </c>
      <c r="Y117" s="308"/>
      <c r="Z117" s="295">
        <f t="shared" si="20"/>
        <v>0.09000000000000001</v>
      </c>
      <c r="AA117" s="295">
        <f>IF($S$1=0,Z114,IF(OR($S$1=10,$S$1=20),Z115,IF($S$1=30,Z116,IF($S$1=50,Z117,0))))</f>
        <v>0.09999999999999999</v>
      </c>
      <c r="AB117" s="295">
        <f>IF($T$1&lt;&gt;1,AA117,AA113)</f>
        <v>0.13</v>
      </c>
      <c r="AC117" s="295">
        <f>IF($U$1="да",AB117,AB109)</f>
        <v>0.13</v>
      </c>
    </row>
    <row r="118" spans="1:26" s="128" customFormat="1" ht="14.25" customHeight="1">
      <c r="A118" s="903"/>
      <c r="B118" s="911" t="s">
        <v>42</v>
      </c>
      <c r="C118" s="922" t="s">
        <v>32</v>
      </c>
      <c r="D118" s="119" t="s">
        <v>33</v>
      </c>
      <c r="E118" s="88" t="s">
        <v>34</v>
      </c>
      <c r="F118" s="127" t="s">
        <v>49</v>
      </c>
      <c r="G118" s="928"/>
      <c r="H118" s="845" t="s">
        <v>50</v>
      </c>
      <c r="I118" s="131">
        <v>0.10999999999999999</v>
      </c>
      <c r="J118" s="517">
        <v>0.10999999999999999</v>
      </c>
      <c r="K118" s="132">
        <v>0.12</v>
      </c>
      <c r="L118" s="924">
        <v>6000</v>
      </c>
      <c r="M118" s="517">
        <f t="shared" si="25"/>
        <v>0.11999999999999998</v>
      </c>
      <c r="N118" s="132">
        <f t="shared" si="24"/>
        <v>0.11999999999999998</v>
      </c>
      <c r="O118" s="155">
        <f t="shared" si="24"/>
        <v>0.13</v>
      </c>
      <c r="Q118" s="307" t="s">
        <v>149</v>
      </c>
      <c r="R118" s="301">
        <f t="shared" si="19"/>
        <v>0.10999999999999999</v>
      </c>
      <c r="Y118" s="307" t="s">
        <v>149</v>
      </c>
      <c r="Z118" s="301">
        <f t="shared" si="20"/>
        <v>0.11999999999999998</v>
      </c>
    </row>
    <row r="119" spans="1:26" s="128" customFormat="1" ht="14.25" customHeight="1">
      <c r="A119" s="903"/>
      <c r="B119" s="906"/>
      <c r="C119" s="909"/>
      <c r="D119" s="119" t="s">
        <v>39</v>
      </c>
      <c r="E119" s="541" t="s">
        <v>105</v>
      </c>
      <c r="F119" s="919" t="s">
        <v>79</v>
      </c>
      <c r="G119" s="928"/>
      <c r="H119" s="840"/>
      <c r="I119" s="131">
        <v>0.10500000000000001</v>
      </c>
      <c r="J119" s="517">
        <v>0.11000000000000001</v>
      </c>
      <c r="K119" s="132">
        <v>0.12</v>
      </c>
      <c r="L119" s="924"/>
      <c r="M119" s="517">
        <f t="shared" si="25"/>
        <v>0.115</v>
      </c>
      <c r="N119" s="132">
        <f t="shared" si="24"/>
        <v>0.12000000000000001</v>
      </c>
      <c r="O119" s="155">
        <f t="shared" si="24"/>
        <v>0.13</v>
      </c>
      <c r="Q119" s="307"/>
      <c r="R119" s="301">
        <f t="shared" si="19"/>
        <v>0.11000000000000001</v>
      </c>
      <c r="Y119" s="307"/>
      <c r="Z119" s="301">
        <f t="shared" si="20"/>
        <v>0.12000000000000001</v>
      </c>
    </row>
    <row r="120" spans="1:26" s="128" customFormat="1" ht="14.25" customHeight="1">
      <c r="A120" s="903"/>
      <c r="B120" s="906"/>
      <c r="C120" s="909"/>
      <c r="D120" s="119" t="s">
        <v>40</v>
      </c>
      <c r="E120" s="546"/>
      <c r="F120" s="920"/>
      <c r="G120" s="928"/>
      <c r="H120" s="840"/>
      <c r="I120" s="131">
        <v>0.1</v>
      </c>
      <c r="J120" s="517">
        <v>0.10500000000000001</v>
      </c>
      <c r="K120" s="132">
        <v>0.11000000000000001</v>
      </c>
      <c r="L120" s="924"/>
      <c r="M120" s="517">
        <f t="shared" si="25"/>
        <v>0.11</v>
      </c>
      <c r="N120" s="132">
        <f t="shared" si="24"/>
        <v>0.115</v>
      </c>
      <c r="O120" s="155">
        <f t="shared" si="24"/>
        <v>0.12000000000000001</v>
      </c>
      <c r="Q120" s="307"/>
      <c r="R120" s="301">
        <f t="shared" si="19"/>
        <v>0.10500000000000001</v>
      </c>
      <c r="Y120" s="307"/>
      <c r="Z120" s="301">
        <f t="shared" si="20"/>
        <v>0.115</v>
      </c>
    </row>
    <row r="121" spans="1:29" s="128" customFormat="1" ht="14.25" customHeight="1">
      <c r="A121" s="903"/>
      <c r="B121" s="906"/>
      <c r="C121" s="910"/>
      <c r="D121" s="119" t="s">
        <v>41</v>
      </c>
      <c r="E121" s="546"/>
      <c r="F121" s="921"/>
      <c r="G121" s="928"/>
      <c r="H121" s="841"/>
      <c r="I121" s="131">
        <v>0.095</v>
      </c>
      <c r="J121" s="517">
        <v>0.1</v>
      </c>
      <c r="K121" s="132">
        <v>0.10500000000000001</v>
      </c>
      <c r="L121" s="924"/>
      <c r="M121" s="517">
        <f t="shared" si="25"/>
        <v>0.105</v>
      </c>
      <c r="N121" s="132">
        <f t="shared" si="24"/>
        <v>0.11</v>
      </c>
      <c r="O121" s="155">
        <f t="shared" si="24"/>
        <v>0.115</v>
      </c>
      <c r="Q121" s="308"/>
      <c r="R121" s="295">
        <f t="shared" si="19"/>
        <v>0.1</v>
      </c>
      <c r="S121" s="295">
        <f>IF($S$1=0,R118,IF(OR($S$1=10,$S$1=20),R119,IF($S$1=30,R120,IF($S$1=50,R121,0))))</f>
        <v>0.11000000000000001</v>
      </c>
      <c r="T121" s="300"/>
      <c r="U121" s="300"/>
      <c r="Y121" s="308"/>
      <c r="Z121" s="295">
        <f t="shared" si="20"/>
        <v>0.11</v>
      </c>
      <c r="AA121" s="295">
        <f>IF($S$1=0,Z118,IF(OR($S$1=10,$S$1=20),Z119,IF($S$1=30,Z120,IF($S$1=50,Z121,0))))</f>
        <v>0.12000000000000001</v>
      </c>
      <c r="AB121" s="300"/>
      <c r="AC121" s="300"/>
    </row>
    <row r="122" spans="1:26" s="128" customFormat="1" ht="14.25" customHeight="1">
      <c r="A122" s="903"/>
      <c r="B122" s="906"/>
      <c r="C122" s="922" t="s">
        <v>46</v>
      </c>
      <c r="D122" s="119" t="s">
        <v>33</v>
      </c>
      <c r="E122" s="88" t="s">
        <v>34</v>
      </c>
      <c r="F122" s="127" t="s">
        <v>49</v>
      </c>
      <c r="G122" s="928"/>
      <c r="H122" s="846" t="s">
        <v>51</v>
      </c>
      <c r="I122" s="133">
        <v>0.08</v>
      </c>
      <c r="J122" s="132">
        <v>0.08</v>
      </c>
      <c r="K122" s="132">
        <v>0.09</v>
      </c>
      <c r="L122" s="924">
        <v>200</v>
      </c>
      <c r="M122" s="517">
        <f t="shared" si="25"/>
        <v>0.09</v>
      </c>
      <c r="N122" s="132">
        <f t="shared" si="24"/>
        <v>0.09</v>
      </c>
      <c r="O122" s="155">
        <f t="shared" si="24"/>
        <v>0.09999999999999999</v>
      </c>
      <c r="Q122" s="307" t="s">
        <v>150</v>
      </c>
      <c r="R122" s="301">
        <f t="shared" si="19"/>
        <v>0.08</v>
      </c>
      <c r="Y122" s="307" t="s">
        <v>150</v>
      </c>
      <c r="Z122" s="301">
        <f t="shared" si="20"/>
        <v>0.09</v>
      </c>
    </row>
    <row r="123" spans="1:26" s="128" customFormat="1" ht="14.25" customHeight="1">
      <c r="A123" s="903"/>
      <c r="B123" s="906"/>
      <c r="C123" s="909"/>
      <c r="D123" s="119" t="s">
        <v>39</v>
      </c>
      <c r="E123" s="541" t="s">
        <v>105</v>
      </c>
      <c r="F123" s="919" t="s">
        <v>80</v>
      </c>
      <c r="G123" s="928"/>
      <c r="H123" s="847"/>
      <c r="I123" s="133">
        <v>0.075</v>
      </c>
      <c r="J123" s="132">
        <v>0.08</v>
      </c>
      <c r="K123" s="132">
        <v>0.09</v>
      </c>
      <c r="L123" s="924"/>
      <c r="M123" s="517">
        <f t="shared" si="25"/>
        <v>0.08499999999999999</v>
      </c>
      <c r="N123" s="132">
        <f t="shared" si="24"/>
        <v>0.09</v>
      </c>
      <c r="O123" s="155">
        <f t="shared" si="24"/>
        <v>0.09999999999999999</v>
      </c>
      <c r="Q123" s="307"/>
      <c r="R123" s="301">
        <f t="shared" si="19"/>
        <v>0.08</v>
      </c>
      <c r="Y123" s="307"/>
      <c r="Z123" s="301">
        <f t="shared" si="20"/>
        <v>0.09</v>
      </c>
    </row>
    <row r="124" spans="1:26" s="128" customFormat="1" ht="14.25" customHeight="1">
      <c r="A124" s="903"/>
      <c r="B124" s="906"/>
      <c r="C124" s="909"/>
      <c r="D124" s="119" t="s">
        <v>40</v>
      </c>
      <c r="E124" s="546"/>
      <c r="F124" s="920"/>
      <c r="G124" s="928"/>
      <c r="H124" s="847"/>
      <c r="I124" s="133">
        <v>0.07</v>
      </c>
      <c r="J124" s="132">
        <v>0.075</v>
      </c>
      <c r="K124" s="132">
        <v>0.08</v>
      </c>
      <c r="L124" s="924"/>
      <c r="M124" s="517">
        <f t="shared" si="25"/>
        <v>0.08</v>
      </c>
      <c r="N124" s="132">
        <f t="shared" si="24"/>
        <v>0.08499999999999999</v>
      </c>
      <c r="O124" s="155">
        <f t="shared" si="24"/>
        <v>0.09</v>
      </c>
      <c r="Q124" s="307"/>
      <c r="R124" s="301">
        <f t="shared" si="19"/>
        <v>0.075</v>
      </c>
      <c r="Y124" s="307"/>
      <c r="Z124" s="301">
        <f t="shared" si="20"/>
        <v>0.08499999999999999</v>
      </c>
    </row>
    <row r="125" spans="1:31" s="128" customFormat="1" ht="14.25" customHeight="1" thickBot="1">
      <c r="A125" s="931"/>
      <c r="B125" s="932"/>
      <c r="C125" s="923"/>
      <c r="D125" s="123" t="s">
        <v>41</v>
      </c>
      <c r="E125" s="547"/>
      <c r="F125" s="926"/>
      <c r="G125" s="929"/>
      <c r="H125" s="859"/>
      <c r="I125" s="243">
        <v>0.065</v>
      </c>
      <c r="J125" s="135">
        <v>0.07</v>
      </c>
      <c r="K125" s="135">
        <v>0.075</v>
      </c>
      <c r="L125" s="925"/>
      <c r="M125" s="134">
        <f t="shared" si="25"/>
        <v>0.075</v>
      </c>
      <c r="N125" s="135">
        <f t="shared" si="24"/>
        <v>0.08</v>
      </c>
      <c r="O125" s="156">
        <f t="shared" si="24"/>
        <v>0.08499999999999999</v>
      </c>
      <c r="Q125" s="309"/>
      <c r="R125" s="296">
        <f t="shared" si="19"/>
        <v>0.07</v>
      </c>
      <c r="S125" s="296">
        <f>IF($S$1=0,R122,IF(OR($S$1=10,$S$1=20),R123,IF($S$1=30,R124,IF($S$1=50,R125,0))))</f>
        <v>0.08</v>
      </c>
      <c r="T125" s="296">
        <f>IF($T$1&lt;&gt;1,S125,S121)</f>
        <v>0.11000000000000001</v>
      </c>
      <c r="U125" s="296">
        <f>T125</f>
        <v>0.11000000000000001</v>
      </c>
      <c r="V125" s="296">
        <f>IF($V$1=2,U125,U117)</f>
        <v>0.12</v>
      </c>
      <c r="W125" s="314">
        <f>IF(AND($W$1=1,$W$2=1,$W$3=2),V50,IF(AND($W$1=2,$W$2=1,$W$3=2),V41,IF(AND($W$1=1,$W$2=1,$W$3=3),V65,IF(AND($W$1=2,$W$2=1,$W$3=3),V56,IF(AND($W$1=1,$W$2=1,$W$3=5),V125,IF(AND($W$1=2,$W$2=1,$W$3=5),V101,0))))))</f>
        <v>0</v>
      </c>
      <c r="Y125" s="309"/>
      <c r="Z125" s="296">
        <f t="shared" si="20"/>
        <v>0.08</v>
      </c>
      <c r="AA125" s="296">
        <f>IF($S$1=0,Z122,IF(OR($S$1=10,$S$1=20),Z123,IF($S$1=30,Z124,IF($S$1=50,Z125,0))))</f>
        <v>0.09</v>
      </c>
      <c r="AB125" s="296">
        <f>IF($T$1&lt;&gt;1,AA125,AA121)</f>
        <v>0.12000000000000001</v>
      </c>
      <c r="AC125" s="296">
        <f>AB125</f>
        <v>0.12000000000000001</v>
      </c>
      <c r="AD125" s="296">
        <f>IF($V$1=2,AC125,AC117)</f>
        <v>0.13</v>
      </c>
      <c r="AE125" s="314">
        <f>IF(AND($W$1=1,$W$2=1,$W$3=2),AD50,IF(AND($W$1=2,$W$2=1,$W$3=2),AD41,IF(AND($W$1=1,$W$2=1,$W$3=3),AD65,IF(AND($W$1=2,$W$2=1,$W$3=3),AD56,IF(AND($W$1=1,$W$2=1,$W$3=5),AD125,IF(AND($W$1=2,$W$2=1,$W$3=5),AD101,0))))))</f>
        <v>0</v>
      </c>
    </row>
    <row r="126" spans="1:26" s="395" customFormat="1" ht="32.25" customHeight="1">
      <c r="A126" s="821" t="s">
        <v>235</v>
      </c>
      <c r="B126" s="823" t="s">
        <v>216</v>
      </c>
      <c r="C126" s="825" t="s">
        <v>32</v>
      </c>
      <c r="D126" s="386" t="s">
        <v>217</v>
      </c>
      <c r="E126" s="387" t="s">
        <v>236</v>
      </c>
      <c r="F126" s="388" t="s">
        <v>35</v>
      </c>
      <c r="G126" s="389" t="s">
        <v>218</v>
      </c>
      <c r="H126" s="390" t="s">
        <v>237</v>
      </c>
      <c r="I126" s="446">
        <v>0.105</v>
      </c>
      <c r="J126" s="391" t="s">
        <v>96</v>
      </c>
      <c r="K126" s="392" t="s">
        <v>96</v>
      </c>
      <c r="L126" s="393" t="s">
        <v>38</v>
      </c>
      <c r="M126" s="449">
        <v>0.105</v>
      </c>
      <c r="N126" s="392" t="s">
        <v>96</v>
      </c>
      <c r="O126" s="394" t="s">
        <v>96</v>
      </c>
      <c r="Q126" s="396" t="s">
        <v>151</v>
      </c>
      <c r="R126" s="397">
        <f>I126</f>
        <v>0.105</v>
      </c>
      <c r="Y126" s="396" t="s">
        <v>151</v>
      </c>
      <c r="Z126" s="397">
        <f aca="true" t="shared" si="26" ref="Z126:Z138">R126</f>
        <v>0.105</v>
      </c>
    </row>
    <row r="127" spans="1:29" s="395" customFormat="1" ht="32.25" customHeight="1">
      <c r="A127" s="822"/>
      <c r="B127" s="824"/>
      <c r="C127" s="826"/>
      <c r="D127" s="398" t="s">
        <v>217</v>
      </c>
      <c r="E127" s="399" t="s">
        <v>34</v>
      </c>
      <c r="F127" s="400" t="s">
        <v>49</v>
      </c>
      <c r="G127" s="401" t="s">
        <v>218</v>
      </c>
      <c r="H127" s="402" t="s">
        <v>219</v>
      </c>
      <c r="I127" s="446">
        <v>0.09</v>
      </c>
      <c r="J127" s="403" t="s">
        <v>96</v>
      </c>
      <c r="K127" s="404" t="s">
        <v>96</v>
      </c>
      <c r="L127" s="405" t="s">
        <v>38</v>
      </c>
      <c r="M127" s="450">
        <v>0.09</v>
      </c>
      <c r="N127" s="404" t="s">
        <v>96</v>
      </c>
      <c r="O127" s="406" t="s">
        <v>96</v>
      </c>
      <c r="Q127" s="396" t="s">
        <v>152</v>
      </c>
      <c r="R127" s="397">
        <f>I127</f>
        <v>0.09</v>
      </c>
      <c r="U127" s="407">
        <f>IF($U$1="да",R127,R126)</f>
        <v>0.09</v>
      </c>
      <c r="Y127" s="396" t="s">
        <v>152</v>
      </c>
      <c r="Z127" s="397">
        <f t="shared" si="26"/>
        <v>0.09</v>
      </c>
      <c r="AC127" s="407">
        <f>IF($U$1="да",Z127,Z126)</f>
        <v>0.09</v>
      </c>
    </row>
    <row r="128" spans="1:29" s="395" customFormat="1" ht="47.25" customHeight="1">
      <c r="A128" s="812" t="s">
        <v>238</v>
      </c>
      <c r="B128" s="814" t="s">
        <v>216</v>
      </c>
      <c r="C128" s="816" t="s">
        <v>32</v>
      </c>
      <c r="D128" s="408" t="s">
        <v>217</v>
      </c>
      <c r="E128" s="409" t="s">
        <v>236</v>
      </c>
      <c r="F128" s="410" t="s">
        <v>35</v>
      </c>
      <c r="G128" s="411" t="s">
        <v>218</v>
      </c>
      <c r="H128" s="402" t="s">
        <v>239</v>
      </c>
      <c r="I128" s="447">
        <v>0.09</v>
      </c>
      <c r="J128" s="412" t="s">
        <v>96</v>
      </c>
      <c r="K128" s="413" t="s">
        <v>96</v>
      </c>
      <c r="L128" s="414" t="s">
        <v>38</v>
      </c>
      <c r="M128" s="451">
        <v>0.09</v>
      </c>
      <c r="N128" s="413" t="s">
        <v>96</v>
      </c>
      <c r="O128" s="415" t="s">
        <v>96</v>
      </c>
      <c r="Q128" s="396" t="s">
        <v>151</v>
      </c>
      <c r="R128" s="397">
        <f>I128</f>
        <v>0.09</v>
      </c>
      <c r="U128" s="407"/>
      <c r="Y128" s="396" t="s">
        <v>151</v>
      </c>
      <c r="Z128" s="397">
        <f t="shared" si="26"/>
        <v>0.09</v>
      </c>
      <c r="AC128" s="407"/>
    </row>
    <row r="129" spans="1:31" s="395" customFormat="1" ht="50.25" customHeight="1" thickBot="1">
      <c r="A129" s="813"/>
      <c r="B129" s="815"/>
      <c r="C129" s="817"/>
      <c r="D129" s="416" t="s">
        <v>217</v>
      </c>
      <c r="E129" s="417" t="s">
        <v>34</v>
      </c>
      <c r="F129" s="418" t="s">
        <v>49</v>
      </c>
      <c r="G129" s="419" t="s">
        <v>218</v>
      </c>
      <c r="H129" s="420" t="s">
        <v>219</v>
      </c>
      <c r="I129" s="448">
        <v>0.075</v>
      </c>
      <c r="J129" s="421" t="s">
        <v>96</v>
      </c>
      <c r="K129" s="422" t="s">
        <v>96</v>
      </c>
      <c r="L129" s="423" t="s">
        <v>38</v>
      </c>
      <c r="M129" s="452">
        <v>0.075</v>
      </c>
      <c r="N129" s="422" t="s">
        <v>96</v>
      </c>
      <c r="O129" s="424" t="s">
        <v>96</v>
      </c>
      <c r="Q129" s="463" t="s">
        <v>152</v>
      </c>
      <c r="R129" s="464">
        <f>I129</f>
        <v>0.075</v>
      </c>
      <c r="S129" s="465"/>
      <c r="T129" s="465"/>
      <c r="U129" s="466">
        <f>IF($U$1="да",R129,R128)</f>
        <v>0.075</v>
      </c>
      <c r="V129" s="466">
        <f>IF(РАСЧЕТ!F21="да",U129,U127)</f>
        <v>0.075</v>
      </c>
      <c r="W129" s="508">
        <f>IF(AND($W$1=1,$W$2=1,$W$3=2),V50,IF(AND($W$1=2,$W$2=1,$W$3=2),V41,IF(AND($W$1=1,$W$2=1,$W$3=3),V65,IF(AND($W$1=2,$W$2=1,$W$3=3),V56,IF(AND($W$1=1,$W$2=1,$W$3=6),V129,IF(AND($W$1=1,$W$2=1,$W$3=5),V125,IF(AND($W$1=2,$W$2=1,$W$3=5),V101,W138)))))))</f>
        <v>0</v>
      </c>
      <c r="Y129" s="463" t="s">
        <v>152</v>
      </c>
      <c r="Z129" s="464">
        <f t="shared" si="26"/>
        <v>0.075</v>
      </c>
      <c r="AA129" s="465"/>
      <c r="AB129" s="465"/>
      <c r="AC129" s="466">
        <f>IF($U$1="да",Z129,Z128)</f>
        <v>0.075</v>
      </c>
      <c r="AD129" s="464">
        <f>IF(РАСЧЕТ!F21="да",AC129,AC127)</f>
        <v>0.075</v>
      </c>
      <c r="AE129" s="508">
        <f>IF(AND($W$1=1,$W$2=1,$W$3=2),AD50,IF(AND($W$1=2,$W$2=1,$W$3=2),AD41,IF(AND($W$1=1,$W$2=1,$W$3=3),AD65,IF(AND($W$1=2,$W$2=1,$W$3=3),AD56,IF(AND($W$1=1,$W$2=1,$W$3=6),V129,IF(AND($W$1=1,$W$2=1,$W$3=5),AD125,IF(AND($W$1=2,$W$2=1,$W$3=5),AD101,AE138)))))))</f>
        <v>0</v>
      </c>
    </row>
    <row r="130" spans="1:31" s="395" customFormat="1" ht="16.5" customHeight="1">
      <c r="A130" s="800" t="s">
        <v>244</v>
      </c>
      <c r="B130" s="774" t="s">
        <v>216</v>
      </c>
      <c r="C130" s="763" t="s">
        <v>32</v>
      </c>
      <c r="D130" s="472" t="s">
        <v>39</v>
      </c>
      <c r="E130" s="763" t="s">
        <v>34</v>
      </c>
      <c r="F130" s="774" t="s">
        <v>49</v>
      </c>
      <c r="G130" s="473" t="s">
        <v>240</v>
      </c>
      <c r="H130" s="803" t="s">
        <v>241</v>
      </c>
      <c r="I130" s="427" t="s">
        <v>96</v>
      </c>
      <c r="J130" s="750">
        <v>0.14</v>
      </c>
      <c r="K130" s="787"/>
      <c r="L130" s="788" t="s">
        <v>96</v>
      </c>
      <c r="M130" s="427" t="s">
        <v>96</v>
      </c>
      <c r="N130" s="750">
        <v>0.14</v>
      </c>
      <c r="O130" s="751"/>
      <c r="Q130" s="396"/>
      <c r="R130" s="397">
        <f>IF($R$1&lt;13,0,J130)</f>
        <v>0.14</v>
      </c>
      <c r="U130" s="407"/>
      <c r="V130" s="407"/>
      <c r="W130" s="425"/>
      <c r="Y130" s="396"/>
      <c r="Z130" s="397">
        <f t="shared" si="26"/>
        <v>0.14</v>
      </c>
      <c r="AC130" s="407"/>
      <c r="AD130" s="397"/>
      <c r="AE130" s="425"/>
    </row>
    <row r="131" spans="1:31" s="395" customFormat="1" ht="16.5" customHeight="1">
      <c r="A131" s="801"/>
      <c r="B131" s="775"/>
      <c r="C131" s="764"/>
      <c r="D131" s="474" t="s">
        <v>40</v>
      </c>
      <c r="E131" s="764"/>
      <c r="F131" s="775"/>
      <c r="G131" s="752" t="s">
        <v>36</v>
      </c>
      <c r="H131" s="804"/>
      <c r="I131" s="757">
        <v>0.135</v>
      </c>
      <c r="J131" s="758"/>
      <c r="K131" s="791"/>
      <c r="L131" s="789"/>
      <c r="M131" s="757">
        <v>0.135</v>
      </c>
      <c r="N131" s="758"/>
      <c r="O131" s="759"/>
      <c r="Q131" s="396"/>
      <c r="R131" s="397">
        <f>I131</f>
        <v>0.135</v>
      </c>
      <c r="U131" s="407"/>
      <c r="V131" s="407"/>
      <c r="W131" s="425"/>
      <c r="Y131" s="396"/>
      <c r="Z131" s="397">
        <f t="shared" si="26"/>
        <v>0.135</v>
      </c>
      <c r="AC131" s="407"/>
      <c r="AD131" s="397"/>
      <c r="AE131" s="425"/>
    </row>
    <row r="132" spans="1:31" s="395" customFormat="1" ht="16.5" customHeight="1" thickBot="1">
      <c r="A132" s="802"/>
      <c r="B132" s="776"/>
      <c r="C132" s="765"/>
      <c r="D132" s="475" t="s">
        <v>41</v>
      </c>
      <c r="E132" s="765"/>
      <c r="F132" s="776"/>
      <c r="G132" s="753"/>
      <c r="H132" s="805"/>
      <c r="I132" s="243">
        <v>0.099</v>
      </c>
      <c r="J132" s="792">
        <v>0.135</v>
      </c>
      <c r="K132" s="793"/>
      <c r="L132" s="790"/>
      <c r="M132" s="243">
        <v>0.099</v>
      </c>
      <c r="N132" s="792">
        <v>0.135</v>
      </c>
      <c r="O132" s="794"/>
      <c r="Q132" s="468"/>
      <c r="R132" s="469">
        <f>IF($R$1&lt;13,I132,J132)</f>
        <v>0.135</v>
      </c>
      <c r="S132" s="469">
        <f>IF($S$1=10,R130,IF($S$1=30,R131,IF($S$1=50,R132,0)))</f>
        <v>0.14</v>
      </c>
      <c r="T132" s="469">
        <f>S132</f>
        <v>0.14</v>
      </c>
      <c r="U132" s="470">
        <f>T132</f>
        <v>0.14</v>
      </c>
      <c r="V132" s="470">
        <f>U132</f>
        <v>0.14</v>
      </c>
      <c r="W132" s="471"/>
      <c r="Y132" s="468"/>
      <c r="Z132" s="469">
        <f t="shared" si="26"/>
        <v>0.135</v>
      </c>
      <c r="AA132" s="469">
        <f>IF($S$1=10,Z130,IF($S$1=30,Z131,IF($S$1=50,Z132,0)))</f>
        <v>0.14</v>
      </c>
      <c r="AB132" s="469">
        <f>AA132</f>
        <v>0.14</v>
      </c>
      <c r="AC132" s="470">
        <f>AB132</f>
        <v>0.14</v>
      </c>
      <c r="AD132" s="469">
        <f>AC132</f>
        <v>0.14</v>
      </c>
      <c r="AE132" s="471"/>
    </row>
    <row r="133" spans="1:31" s="395" customFormat="1" ht="16.5" customHeight="1" hidden="1">
      <c r="A133" s="771" t="s">
        <v>245</v>
      </c>
      <c r="B133" s="774" t="s">
        <v>216</v>
      </c>
      <c r="C133" s="763" t="s">
        <v>32</v>
      </c>
      <c r="D133" s="472" t="s">
        <v>93</v>
      </c>
      <c r="E133" s="763" t="s">
        <v>34</v>
      </c>
      <c r="F133" s="763" t="s">
        <v>49</v>
      </c>
      <c r="G133" s="476" t="s">
        <v>242</v>
      </c>
      <c r="H133" s="477" t="s">
        <v>95</v>
      </c>
      <c r="I133" s="453" t="s">
        <v>96</v>
      </c>
      <c r="J133" s="457">
        <v>0.0867</v>
      </c>
      <c r="K133" s="625" t="s">
        <v>96</v>
      </c>
      <c r="L133" s="777" t="s">
        <v>96</v>
      </c>
      <c r="M133" s="454" t="str">
        <f aca="true" t="shared" si="27" ref="M133:M152">I133</f>
        <v>-</v>
      </c>
      <c r="N133" s="459">
        <f>J133</f>
        <v>0.0867</v>
      </c>
      <c r="O133" s="780" t="s">
        <v>96</v>
      </c>
      <c r="Q133" s="396"/>
      <c r="R133" s="397">
        <f>IF($R$1&lt;13,0,J133)</f>
        <v>0.0867</v>
      </c>
      <c r="U133" s="407"/>
      <c r="V133" s="407"/>
      <c r="W133" s="425"/>
      <c r="Y133" s="396"/>
      <c r="Z133" s="397">
        <f t="shared" si="26"/>
        <v>0.0867</v>
      </c>
      <c r="AC133" s="407"/>
      <c r="AD133" s="397"/>
      <c r="AE133" s="425"/>
    </row>
    <row r="134" spans="1:31" s="395" customFormat="1" ht="16.5" customHeight="1" hidden="1">
      <c r="A134" s="772"/>
      <c r="B134" s="775"/>
      <c r="C134" s="764"/>
      <c r="D134" s="478" t="s">
        <v>40</v>
      </c>
      <c r="E134" s="764"/>
      <c r="F134" s="764"/>
      <c r="G134" s="479" t="s">
        <v>94</v>
      </c>
      <c r="H134" s="480" t="s">
        <v>97</v>
      </c>
      <c r="I134" s="783">
        <v>0.0817</v>
      </c>
      <c r="J134" s="784"/>
      <c r="K134" s="626"/>
      <c r="L134" s="778"/>
      <c r="M134" s="785">
        <f t="shared" si="27"/>
        <v>0.0817</v>
      </c>
      <c r="N134" s="786"/>
      <c r="O134" s="781"/>
      <c r="Q134" s="396"/>
      <c r="R134" s="397">
        <f>I134</f>
        <v>0.0817</v>
      </c>
      <c r="U134" s="407"/>
      <c r="V134" s="407"/>
      <c r="W134" s="425"/>
      <c r="Y134" s="396"/>
      <c r="Z134" s="397">
        <f t="shared" si="26"/>
        <v>0.0817</v>
      </c>
      <c r="AC134" s="407"/>
      <c r="AD134" s="397"/>
      <c r="AE134" s="425"/>
    </row>
    <row r="135" spans="1:31" s="395" customFormat="1" ht="16.5" customHeight="1" hidden="1" thickBot="1">
      <c r="A135" s="773"/>
      <c r="B135" s="776"/>
      <c r="C135" s="765"/>
      <c r="D135" s="481" t="s">
        <v>41</v>
      </c>
      <c r="E135" s="765"/>
      <c r="F135" s="765"/>
      <c r="G135" s="482" t="s">
        <v>242</v>
      </c>
      <c r="H135" s="481" t="s">
        <v>243</v>
      </c>
      <c r="I135" s="455" t="s">
        <v>96</v>
      </c>
      <c r="J135" s="458">
        <v>0.0817</v>
      </c>
      <c r="K135" s="627"/>
      <c r="L135" s="779"/>
      <c r="M135" s="456" t="str">
        <f t="shared" si="27"/>
        <v>-</v>
      </c>
      <c r="N135" s="460">
        <f>J135</f>
        <v>0.0817</v>
      </c>
      <c r="O135" s="782"/>
      <c r="Q135" s="468"/>
      <c r="R135" s="469">
        <f>IF($R$1&lt;13,I135,J135)</f>
        <v>0.0817</v>
      </c>
      <c r="S135" s="469">
        <f>IF($S$1=15,R133,IF($S$1=30,R134,IF($S$1=50,R135,0)))</f>
        <v>0</v>
      </c>
      <c r="T135" s="469">
        <f>S135</f>
        <v>0</v>
      </c>
      <c r="U135" s="470">
        <f>T135</f>
        <v>0</v>
      </c>
      <c r="V135" s="470">
        <f>U135</f>
        <v>0</v>
      </c>
      <c r="W135" s="471"/>
      <c r="Y135" s="468"/>
      <c r="Z135" s="469">
        <f t="shared" si="26"/>
        <v>0.0817</v>
      </c>
      <c r="AA135" s="469">
        <f>IF($S$1=15,Z133,IF($S$1=30,Z134,IF($S$1=50,Z135,0)))</f>
        <v>0</v>
      </c>
      <c r="AB135" s="469">
        <f>AA135</f>
        <v>0</v>
      </c>
      <c r="AC135" s="470">
        <f>AB135</f>
        <v>0</v>
      </c>
      <c r="AD135" s="469">
        <f>AC135</f>
        <v>0</v>
      </c>
      <c r="AE135" s="471"/>
    </row>
    <row r="136" spans="1:31" s="395" customFormat="1" ht="16.5" customHeight="1" hidden="1">
      <c r="A136" s="771" t="s">
        <v>246</v>
      </c>
      <c r="B136" s="774" t="s">
        <v>216</v>
      </c>
      <c r="C136" s="763" t="s">
        <v>32</v>
      </c>
      <c r="D136" s="472" t="s">
        <v>93</v>
      </c>
      <c r="E136" s="763" t="s">
        <v>34</v>
      </c>
      <c r="F136" s="763" t="s">
        <v>49</v>
      </c>
      <c r="G136" s="473" t="s">
        <v>240</v>
      </c>
      <c r="H136" s="766" t="s">
        <v>50</v>
      </c>
      <c r="I136" s="461" t="s">
        <v>96</v>
      </c>
      <c r="J136" s="769">
        <f>J130-0.5%</f>
        <v>0.135</v>
      </c>
      <c r="K136" s="770"/>
      <c r="L136" s="537" t="s">
        <v>96</v>
      </c>
      <c r="M136" s="427" t="str">
        <f t="shared" si="27"/>
        <v>-</v>
      </c>
      <c r="N136" s="750">
        <f>J136</f>
        <v>0.135</v>
      </c>
      <c r="O136" s="751"/>
      <c r="Q136" s="396"/>
      <c r="R136" s="397">
        <f>IF($R$1&lt;13,0,J136)</f>
        <v>0.135</v>
      </c>
      <c r="U136" s="407"/>
      <c r="V136" s="407"/>
      <c r="W136" s="425"/>
      <c r="Y136" s="396"/>
      <c r="Z136" s="397">
        <f t="shared" si="26"/>
        <v>0.135</v>
      </c>
      <c r="AC136" s="407"/>
      <c r="AD136" s="397"/>
      <c r="AE136" s="425"/>
    </row>
    <row r="137" spans="1:31" s="395" customFormat="1" ht="16.5" customHeight="1" hidden="1">
      <c r="A137" s="772"/>
      <c r="B137" s="775"/>
      <c r="C137" s="764"/>
      <c r="D137" s="474" t="s">
        <v>40</v>
      </c>
      <c r="E137" s="764"/>
      <c r="F137" s="764"/>
      <c r="G137" s="752" t="s">
        <v>36</v>
      </c>
      <c r="H137" s="767"/>
      <c r="I137" s="754">
        <f>I131-0.5%</f>
        <v>0.13</v>
      </c>
      <c r="J137" s="755"/>
      <c r="K137" s="756"/>
      <c r="L137" s="538"/>
      <c r="M137" s="757">
        <f t="shared" si="27"/>
        <v>0.13</v>
      </c>
      <c r="N137" s="758"/>
      <c r="O137" s="759"/>
      <c r="Q137" s="396"/>
      <c r="R137" s="397">
        <f>I137</f>
        <v>0.13</v>
      </c>
      <c r="U137" s="407"/>
      <c r="V137" s="407"/>
      <c r="W137" s="425"/>
      <c r="Y137" s="396"/>
      <c r="Z137" s="397">
        <f t="shared" si="26"/>
        <v>0.13</v>
      </c>
      <c r="AC137" s="407"/>
      <c r="AD137" s="397"/>
      <c r="AE137" s="425"/>
    </row>
    <row r="138" spans="1:31" s="395" customFormat="1" ht="16.5" customHeight="1" hidden="1" thickBot="1">
      <c r="A138" s="773"/>
      <c r="B138" s="776"/>
      <c r="C138" s="765"/>
      <c r="D138" s="475" t="s">
        <v>41</v>
      </c>
      <c r="E138" s="765"/>
      <c r="F138" s="765"/>
      <c r="G138" s="753"/>
      <c r="H138" s="768"/>
      <c r="I138" s="462">
        <f>I132-0.5%</f>
        <v>0.094</v>
      </c>
      <c r="J138" s="760">
        <f>J132-0.5%</f>
        <v>0.13</v>
      </c>
      <c r="K138" s="761"/>
      <c r="L138" s="539"/>
      <c r="M138" s="134">
        <f t="shared" si="27"/>
        <v>0.094</v>
      </c>
      <c r="N138" s="760">
        <f>N132-0.5%</f>
        <v>0.13</v>
      </c>
      <c r="O138" s="762"/>
      <c r="Q138" s="463"/>
      <c r="R138" s="464">
        <f>IF($R$1&lt;13,I138,J138)</f>
        <v>0.13</v>
      </c>
      <c r="S138" s="464">
        <f>IF($S$1=15,R136,IF($S$1=30,R137,IF($S$1=50,R138,0)))</f>
        <v>0</v>
      </c>
      <c r="T138" s="464">
        <f>S138</f>
        <v>0</v>
      </c>
      <c r="U138" s="466">
        <f>T138</f>
        <v>0</v>
      </c>
      <c r="V138" s="466">
        <f>U138</f>
        <v>0</v>
      </c>
      <c r="W138" s="467">
        <f>IF(AND($W$1=1,$W$2=1,$W$3=7),V132,IF(AND($W$1=1,$W$2=1,$W$3=8),V135,IF(AND($W$1=1,$W$2=1,$W$3=9),V138,IF(AND($W$1=1,$W$2=1,$W$3=10,РАСЧЕТ!F21="да"),V146,IF(AND($W$1=1,$W$2=1,$W$3=10,РАСЧЕТ!F21&lt;&gt;"да"),V142,IF(AND($W$1=1,$W$2=1,$W$3=11),V149,IF(AND($W$1=1,$W$2=1,$W$3=12),V152,0)))))))</f>
        <v>0</v>
      </c>
      <c r="Y138" s="463"/>
      <c r="Z138" s="464">
        <f t="shared" si="26"/>
        <v>0.13</v>
      </c>
      <c r="AA138" s="464">
        <f>IF($S$1=15,Z136,IF($S$1=30,Z137,IF($S$1=50,Z138,0)))</f>
        <v>0</v>
      </c>
      <c r="AB138" s="464">
        <f>AA138</f>
        <v>0</v>
      </c>
      <c r="AC138" s="466">
        <f>AB138</f>
        <v>0</v>
      </c>
      <c r="AD138" s="464">
        <f>AC138</f>
        <v>0</v>
      </c>
      <c r="AE138" s="467">
        <f>IF(AND($W$1=1,$W$2=1,$W$3=7),AD132,IF(AND($W$1=1,$W$2=1,$W$3=8),AD135,IF(AND($W$1=1,$W$2=1,$W$3=9),AD138,IF(AND($W$1=1,$W$2=1,$W$3=10,РАСЧЕТ!F21="да"),AD146,IF(AND($W$1=1,$W$2=1,$W$3=10,РАСЧЕТ!F21&lt;&gt;"да"),AD142,IF(AND($W$1=1,$W$2=1,$W$3=11),AD149,IF(AND($W$1=1,$W$2=1,$W$3=12),AD152,0)))))))</f>
        <v>0</v>
      </c>
    </row>
    <row r="139" spans="1:31" s="395" customFormat="1" ht="16.5" customHeight="1">
      <c r="A139" s="747" t="s">
        <v>247</v>
      </c>
      <c r="B139" s="726" t="s">
        <v>216</v>
      </c>
      <c r="C139" s="712" t="s">
        <v>32</v>
      </c>
      <c r="D139" s="492" t="s">
        <v>33</v>
      </c>
      <c r="E139" s="726" t="s">
        <v>34</v>
      </c>
      <c r="F139" s="712" t="s">
        <v>49</v>
      </c>
      <c r="G139" s="715" t="s">
        <v>36</v>
      </c>
      <c r="H139" s="499" t="s">
        <v>250</v>
      </c>
      <c r="I139" s="721">
        <v>0.165</v>
      </c>
      <c r="J139" s="722"/>
      <c r="K139" s="500">
        <v>0.17</v>
      </c>
      <c r="L139" s="699" t="s">
        <v>96</v>
      </c>
      <c r="M139" s="702">
        <f t="shared" si="27"/>
        <v>0.165</v>
      </c>
      <c r="N139" s="703"/>
      <c r="O139" s="504">
        <f aca="true" t="shared" si="28" ref="O139:O146">K139</f>
        <v>0.17</v>
      </c>
      <c r="P139" s="498"/>
      <c r="Q139" s="488"/>
      <c r="R139" s="489">
        <f>IF($R$1&lt;37,I139,K139)</f>
        <v>0.165</v>
      </c>
      <c r="S139" s="489"/>
      <c r="T139" s="489"/>
      <c r="U139" s="490"/>
      <c r="V139" s="490"/>
      <c r="W139" s="491"/>
      <c r="Y139" s="488"/>
      <c r="Z139" s="489">
        <f aca="true" t="shared" si="29" ref="Z139:Z146">IF($R$1&lt;37,M139,O139)</f>
        <v>0.165</v>
      </c>
      <c r="AA139" s="489"/>
      <c r="AB139" s="489"/>
      <c r="AC139" s="490"/>
      <c r="AD139" s="489"/>
      <c r="AE139" s="491"/>
    </row>
    <row r="140" spans="1:31" s="395" customFormat="1" ht="16.5" customHeight="1">
      <c r="A140" s="748"/>
      <c r="B140" s="727"/>
      <c r="C140" s="713"/>
      <c r="D140" s="493" t="s">
        <v>39</v>
      </c>
      <c r="E140" s="727"/>
      <c r="F140" s="713"/>
      <c r="G140" s="716"/>
      <c r="H140" s="719" t="s">
        <v>50</v>
      </c>
      <c r="I140" s="704">
        <v>0.14</v>
      </c>
      <c r="J140" s="705"/>
      <c r="K140" s="501">
        <v>0.145</v>
      </c>
      <c r="L140" s="700"/>
      <c r="M140" s="706">
        <f t="shared" si="27"/>
        <v>0.14</v>
      </c>
      <c r="N140" s="707"/>
      <c r="O140" s="505">
        <f t="shared" si="28"/>
        <v>0.145</v>
      </c>
      <c r="P140" s="498"/>
      <c r="Q140" s="488"/>
      <c r="R140" s="489">
        <f>IF($R$1&lt;37,I140,K140)</f>
        <v>0.14</v>
      </c>
      <c r="S140" s="489"/>
      <c r="T140" s="489"/>
      <c r="U140" s="490"/>
      <c r="V140" s="490"/>
      <c r="W140" s="491"/>
      <c r="Y140" s="488"/>
      <c r="Z140" s="489">
        <f t="shared" si="29"/>
        <v>0.14</v>
      </c>
      <c r="AA140" s="489"/>
      <c r="AB140" s="489"/>
      <c r="AC140" s="490"/>
      <c r="AD140" s="489"/>
      <c r="AE140" s="491"/>
    </row>
    <row r="141" spans="1:31" s="395" customFormat="1" ht="16.5" customHeight="1">
      <c r="A141" s="748"/>
      <c r="B141" s="727"/>
      <c r="C141" s="713"/>
      <c r="D141" s="493" t="s">
        <v>40</v>
      </c>
      <c r="E141" s="727"/>
      <c r="F141" s="713"/>
      <c r="G141" s="716"/>
      <c r="H141" s="719"/>
      <c r="I141" s="704">
        <v>0.135</v>
      </c>
      <c r="J141" s="705"/>
      <c r="K141" s="501">
        <v>0.14</v>
      </c>
      <c r="L141" s="700"/>
      <c r="M141" s="706">
        <f t="shared" si="27"/>
        <v>0.135</v>
      </c>
      <c r="N141" s="707"/>
      <c r="O141" s="505">
        <f t="shared" si="28"/>
        <v>0.14</v>
      </c>
      <c r="P141" s="498"/>
      <c r="Q141" s="488"/>
      <c r="R141" s="489">
        <f aca="true" t="shared" si="30" ref="R141:R146">IF($R$1&lt;37,I141,K141)</f>
        <v>0.135</v>
      </c>
      <c r="S141" s="489"/>
      <c r="T141" s="489"/>
      <c r="U141" s="490"/>
      <c r="V141" s="490"/>
      <c r="W141" s="491"/>
      <c r="Y141" s="488"/>
      <c r="Z141" s="489">
        <f t="shared" si="29"/>
        <v>0.135</v>
      </c>
      <c r="AA141" s="489"/>
      <c r="AB141" s="489"/>
      <c r="AC141" s="490"/>
      <c r="AD141" s="489"/>
      <c r="AE141" s="491"/>
    </row>
    <row r="142" spans="1:31" s="395" customFormat="1" ht="16.5" customHeight="1" thickBot="1">
      <c r="A142" s="749"/>
      <c r="B142" s="728"/>
      <c r="C142" s="714"/>
      <c r="D142" s="494" t="s">
        <v>41</v>
      </c>
      <c r="E142" s="728"/>
      <c r="F142" s="714"/>
      <c r="G142" s="717"/>
      <c r="H142" s="720"/>
      <c r="I142" s="708">
        <v>0.13</v>
      </c>
      <c r="J142" s="709"/>
      <c r="K142" s="502">
        <v>0.135</v>
      </c>
      <c r="L142" s="701"/>
      <c r="M142" s="710">
        <f t="shared" si="27"/>
        <v>0.13</v>
      </c>
      <c r="N142" s="711"/>
      <c r="O142" s="506">
        <f t="shared" si="28"/>
        <v>0.135</v>
      </c>
      <c r="P142" s="498"/>
      <c r="Q142" s="463"/>
      <c r="R142" s="464">
        <f t="shared" si="30"/>
        <v>0.13</v>
      </c>
      <c r="S142" s="464">
        <f>IF($S$1=0,R139,IF($S$1=10,R140,IF($S$1=30,R141,IF($S$1=50,R142,0))))</f>
        <v>0.14</v>
      </c>
      <c r="T142" s="464">
        <f>S142</f>
        <v>0.14</v>
      </c>
      <c r="U142" s="466">
        <f>T142</f>
        <v>0.14</v>
      </c>
      <c r="V142" s="466">
        <f>U142</f>
        <v>0.14</v>
      </c>
      <c r="W142" s="467"/>
      <c r="Y142" s="463"/>
      <c r="Z142" s="464">
        <f t="shared" si="29"/>
        <v>0.13</v>
      </c>
      <c r="AA142" s="464">
        <f>IF($S$1=0,Z139,IF($S$1=10,Z140,IF($S$1=30,Z141,IF($S$1=50,Z142,0))))</f>
        <v>0.14</v>
      </c>
      <c r="AB142" s="464">
        <f>AA142</f>
        <v>0.14</v>
      </c>
      <c r="AC142" s="466">
        <f>AB142</f>
        <v>0.14</v>
      </c>
      <c r="AD142" s="464">
        <f>AC142</f>
        <v>0.14</v>
      </c>
      <c r="AE142" s="467"/>
    </row>
    <row r="143" spans="1:31" s="395" customFormat="1" ht="16.5" customHeight="1">
      <c r="A143" s="747" t="s">
        <v>249</v>
      </c>
      <c r="B143" s="726" t="s">
        <v>216</v>
      </c>
      <c r="C143" s="712" t="s">
        <v>32</v>
      </c>
      <c r="D143" s="492" t="s">
        <v>33</v>
      </c>
      <c r="E143" s="726" t="s">
        <v>34</v>
      </c>
      <c r="F143" s="712" t="s">
        <v>49</v>
      </c>
      <c r="G143" s="715" t="s">
        <v>36</v>
      </c>
      <c r="H143" s="499" t="s">
        <v>250</v>
      </c>
      <c r="I143" s="721">
        <f>I139-1.5%</f>
        <v>0.15000000000000002</v>
      </c>
      <c r="J143" s="722"/>
      <c r="K143" s="500">
        <f>K139-1.5%</f>
        <v>0.15500000000000003</v>
      </c>
      <c r="L143" s="699" t="s">
        <v>96</v>
      </c>
      <c r="M143" s="702">
        <f t="shared" si="27"/>
        <v>0.15000000000000002</v>
      </c>
      <c r="N143" s="703"/>
      <c r="O143" s="504">
        <f t="shared" si="28"/>
        <v>0.15500000000000003</v>
      </c>
      <c r="P143" s="498"/>
      <c r="Q143" s="488"/>
      <c r="R143" s="489">
        <f t="shared" si="30"/>
        <v>0.15000000000000002</v>
      </c>
      <c r="S143" s="489"/>
      <c r="T143" s="489"/>
      <c r="U143" s="490"/>
      <c r="V143" s="490"/>
      <c r="W143" s="491"/>
      <c r="Y143" s="488"/>
      <c r="Z143" s="489">
        <f t="shared" si="29"/>
        <v>0.15000000000000002</v>
      </c>
      <c r="AA143" s="489"/>
      <c r="AB143" s="489"/>
      <c r="AC143" s="490"/>
      <c r="AD143" s="489"/>
      <c r="AE143" s="491"/>
    </row>
    <row r="144" spans="1:31" s="395" customFormat="1" ht="16.5" customHeight="1">
      <c r="A144" s="748"/>
      <c r="B144" s="727"/>
      <c r="C144" s="713"/>
      <c r="D144" s="493" t="s">
        <v>39</v>
      </c>
      <c r="E144" s="727"/>
      <c r="F144" s="713"/>
      <c r="G144" s="716"/>
      <c r="H144" s="719" t="s">
        <v>50</v>
      </c>
      <c r="I144" s="745">
        <f>I140-1.5%</f>
        <v>0.125</v>
      </c>
      <c r="J144" s="746"/>
      <c r="K144" s="503">
        <f>K140-1.5%</f>
        <v>0.13</v>
      </c>
      <c r="L144" s="700"/>
      <c r="M144" s="706">
        <f t="shared" si="27"/>
        <v>0.125</v>
      </c>
      <c r="N144" s="707"/>
      <c r="O144" s="505">
        <f t="shared" si="28"/>
        <v>0.13</v>
      </c>
      <c r="P144" s="498"/>
      <c r="Q144" s="488"/>
      <c r="R144" s="489">
        <f t="shared" si="30"/>
        <v>0.125</v>
      </c>
      <c r="S144" s="489"/>
      <c r="T144" s="489"/>
      <c r="U144" s="490"/>
      <c r="V144" s="490"/>
      <c r="W144" s="491"/>
      <c r="Y144" s="488"/>
      <c r="Z144" s="489">
        <f t="shared" si="29"/>
        <v>0.125</v>
      </c>
      <c r="AA144" s="489"/>
      <c r="AB144" s="489"/>
      <c r="AC144" s="490"/>
      <c r="AD144" s="489"/>
      <c r="AE144" s="491"/>
    </row>
    <row r="145" spans="1:31" s="395" customFormat="1" ht="16.5" customHeight="1">
      <c r="A145" s="748"/>
      <c r="B145" s="727"/>
      <c r="C145" s="713"/>
      <c r="D145" s="493" t="s">
        <v>40</v>
      </c>
      <c r="E145" s="727"/>
      <c r="F145" s="713"/>
      <c r="G145" s="716"/>
      <c r="H145" s="719"/>
      <c r="I145" s="745">
        <f>I141-1.5%</f>
        <v>0.12000000000000001</v>
      </c>
      <c r="J145" s="746"/>
      <c r="K145" s="503">
        <f>K141-1.5%</f>
        <v>0.125</v>
      </c>
      <c r="L145" s="700"/>
      <c r="M145" s="706">
        <f t="shared" si="27"/>
        <v>0.12000000000000001</v>
      </c>
      <c r="N145" s="707"/>
      <c r="O145" s="505">
        <f t="shared" si="28"/>
        <v>0.125</v>
      </c>
      <c r="P145" s="498"/>
      <c r="Q145" s="488"/>
      <c r="R145" s="489">
        <f t="shared" si="30"/>
        <v>0.12000000000000001</v>
      </c>
      <c r="S145" s="489"/>
      <c r="T145" s="489"/>
      <c r="U145" s="490"/>
      <c r="V145" s="490"/>
      <c r="W145" s="491"/>
      <c r="Y145" s="488"/>
      <c r="Z145" s="489">
        <f t="shared" si="29"/>
        <v>0.12000000000000001</v>
      </c>
      <c r="AA145" s="489"/>
      <c r="AB145" s="489"/>
      <c r="AC145" s="490"/>
      <c r="AD145" s="489"/>
      <c r="AE145" s="491"/>
    </row>
    <row r="146" spans="1:31" s="395" customFormat="1" ht="16.5" customHeight="1" thickBot="1">
      <c r="A146" s="749"/>
      <c r="B146" s="728"/>
      <c r="C146" s="714"/>
      <c r="D146" s="494" t="s">
        <v>41</v>
      </c>
      <c r="E146" s="728"/>
      <c r="F146" s="714"/>
      <c r="G146" s="717"/>
      <c r="H146" s="720"/>
      <c r="I146" s="708">
        <f>I142-1.5%</f>
        <v>0.115</v>
      </c>
      <c r="J146" s="709"/>
      <c r="K146" s="518">
        <f>K142-1.5%</f>
        <v>0.12000000000000001</v>
      </c>
      <c r="L146" s="701"/>
      <c r="M146" s="710">
        <f t="shared" si="27"/>
        <v>0.115</v>
      </c>
      <c r="N146" s="711"/>
      <c r="O146" s="506">
        <f t="shared" si="28"/>
        <v>0.12000000000000001</v>
      </c>
      <c r="P146" s="498"/>
      <c r="Q146" s="463"/>
      <c r="R146" s="464">
        <f t="shared" si="30"/>
        <v>0.115</v>
      </c>
      <c r="S146" s="464">
        <f>IF($S$1=0,R143,IF($S$1=10,R144,IF($S$1=30,R145,IF($S$1=50,R146,0))))</f>
        <v>0.125</v>
      </c>
      <c r="T146" s="464">
        <f>S146</f>
        <v>0.125</v>
      </c>
      <c r="U146" s="466">
        <f>T146</f>
        <v>0.125</v>
      </c>
      <c r="V146" s="466">
        <f>U146</f>
        <v>0.125</v>
      </c>
      <c r="W146" s="467"/>
      <c r="Y146" s="463"/>
      <c r="Z146" s="464">
        <f t="shared" si="29"/>
        <v>0.115</v>
      </c>
      <c r="AA146" s="464">
        <f>IF($S$1=0,Z143,IF($S$1=10,Z144,IF($S$1=30,Z145,IF($S$1=50,Z146,0))))</f>
        <v>0.125</v>
      </c>
      <c r="AB146" s="464">
        <f>AA146</f>
        <v>0.125</v>
      </c>
      <c r="AC146" s="466">
        <f>AB146</f>
        <v>0.125</v>
      </c>
      <c r="AD146" s="464">
        <f>AC146</f>
        <v>0.125</v>
      </c>
      <c r="AE146" s="467"/>
    </row>
    <row r="147" spans="1:31" s="395" customFormat="1" ht="16.5" customHeight="1" hidden="1">
      <c r="A147" s="723" t="s">
        <v>251</v>
      </c>
      <c r="B147" s="726" t="s">
        <v>216</v>
      </c>
      <c r="C147" s="713" t="s">
        <v>32</v>
      </c>
      <c r="D147" s="495" t="s">
        <v>93</v>
      </c>
      <c r="E147" s="727" t="s">
        <v>34</v>
      </c>
      <c r="F147" s="713" t="s">
        <v>49</v>
      </c>
      <c r="G147" s="739" t="s">
        <v>252</v>
      </c>
      <c r="H147" s="507" t="s">
        <v>95</v>
      </c>
      <c r="I147" s="735">
        <v>0.0867</v>
      </c>
      <c r="J147" s="736"/>
      <c r="K147" s="741" t="s">
        <v>96</v>
      </c>
      <c r="L147" s="700" t="s">
        <v>96</v>
      </c>
      <c r="M147" s="730">
        <f t="shared" si="27"/>
        <v>0.0867</v>
      </c>
      <c r="N147" s="731"/>
      <c r="O147" s="732" t="str">
        <f>K147</f>
        <v>-</v>
      </c>
      <c r="P147" s="498"/>
      <c r="Q147" s="488"/>
      <c r="R147" s="489">
        <f>I147</f>
        <v>0.0867</v>
      </c>
      <c r="S147" s="489"/>
      <c r="T147" s="489"/>
      <c r="U147" s="490"/>
      <c r="V147" s="490"/>
      <c r="W147" s="491"/>
      <c r="Y147" s="488"/>
      <c r="Z147" s="489">
        <f>M147</f>
        <v>0.0867</v>
      </c>
      <c r="AA147" s="489"/>
      <c r="AB147" s="489"/>
      <c r="AC147" s="490"/>
      <c r="AD147" s="489"/>
      <c r="AE147" s="491"/>
    </row>
    <row r="148" spans="1:31" s="395" customFormat="1" ht="16.5" customHeight="1" hidden="1">
      <c r="A148" s="724"/>
      <c r="B148" s="727"/>
      <c r="C148" s="713"/>
      <c r="D148" s="493" t="s">
        <v>40</v>
      </c>
      <c r="E148" s="727"/>
      <c r="F148" s="713"/>
      <c r="G148" s="740"/>
      <c r="H148" s="483" t="s">
        <v>97</v>
      </c>
      <c r="I148" s="735">
        <v>0.0817</v>
      </c>
      <c r="J148" s="736"/>
      <c r="K148" s="742"/>
      <c r="L148" s="700"/>
      <c r="M148" s="737">
        <f t="shared" si="27"/>
        <v>0.0817</v>
      </c>
      <c r="N148" s="738"/>
      <c r="O148" s="733"/>
      <c r="P148" s="498"/>
      <c r="Q148" s="488"/>
      <c r="R148" s="489">
        <f>I148</f>
        <v>0.0817</v>
      </c>
      <c r="S148" s="489"/>
      <c r="T148" s="489"/>
      <c r="U148" s="490"/>
      <c r="V148" s="490"/>
      <c r="W148" s="491"/>
      <c r="Y148" s="488"/>
      <c r="Z148" s="489">
        <f>M148</f>
        <v>0.0817</v>
      </c>
      <c r="AA148" s="489"/>
      <c r="AB148" s="489"/>
      <c r="AC148" s="490"/>
      <c r="AD148" s="489"/>
      <c r="AE148" s="491"/>
    </row>
    <row r="149" spans="1:31" s="395" customFormat="1" ht="16.5" customHeight="1" hidden="1" thickBot="1">
      <c r="A149" s="724"/>
      <c r="B149" s="727"/>
      <c r="C149" s="744"/>
      <c r="D149" s="493" t="s">
        <v>41</v>
      </c>
      <c r="E149" s="727"/>
      <c r="F149" s="713"/>
      <c r="G149" s="740"/>
      <c r="H149" s="483" t="s">
        <v>243</v>
      </c>
      <c r="I149" s="735">
        <v>0.0767</v>
      </c>
      <c r="J149" s="736"/>
      <c r="K149" s="743"/>
      <c r="L149" s="729"/>
      <c r="M149" s="737">
        <f t="shared" si="27"/>
        <v>0.0767</v>
      </c>
      <c r="N149" s="738"/>
      <c r="O149" s="734"/>
      <c r="P149" s="498"/>
      <c r="Q149" s="463"/>
      <c r="R149" s="464">
        <f>I149</f>
        <v>0.0767</v>
      </c>
      <c r="S149" s="464">
        <f>IF($S$1=15,R147,IF($S$1=30,R148,IF($S$1=50,R149,0)))</f>
        <v>0</v>
      </c>
      <c r="T149" s="464">
        <f>S149</f>
        <v>0</v>
      </c>
      <c r="U149" s="466">
        <f>T149</f>
        <v>0</v>
      </c>
      <c r="V149" s="466">
        <f>U149</f>
        <v>0</v>
      </c>
      <c r="W149" s="467"/>
      <c r="Y149" s="463"/>
      <c r="Z149" s="464">
        <f>M149</f>
        <v>0.0767</v>
      </c>
      <c r="AA149" s="464">
        <f>IF($S$1=15,Z147,IF($S$1=30,Z148,IF($S$1=50,Z149,0)))</f>
        <v>0</v>
      </c>
      <c r="AB149" s="464">
        <f>AA149</f>
        <v>0</v>
      </c>
      <c r="AC149" s="466">
        <f>AB149</f>
        <v>0</v>
      </c>
      <c r="AD149" s="464">
        <f>AC149</f>
        <v>0</v>
      </c>
      <c r="AE149" s="467"/>
    </row>
    <row r="150" spans="1:31" s="395" customFormat="1" ht="16.5" customHeight="1" hidden="1">
      <c r="A150" s="723" t="s">
        <v>253</v>
      </c>
      <c r="B150" s="726" t="s">
        <v>216</v>
      </c>
      <c r="C150" s="712" t="s">
        <v>32</v>
      </c>
      <c r="D150" s="492" t="s">
        <v>93</v>
      </c>
      <c r="E150" s="726" t="s">
        <v>34</v>
      </c>
      <c r="F150" s="712" t="s">
        <v>49</v>
      </c>
      <c r="G150" s="715" t="s">
        <v>36</v>
      </c>
      <c r="H150" s="718" t="s">
        <v>50</v>
      </c>
      <c r="I150" s="721">
        <v>0.135</v>
      </c>
      <c r="J150" s="722"/>
      <c r="K150" s="500">
        <v>0.13999999999999999</v>
      </c>
      <c r="L150" s="699" t="s">
        <v>96</v>
      </c>
      <c r="M150" s="702">
        <f t="shared" si="27"/>
        <v>0.135</v>
      </c>
      <c r="N150" s="703"/>
      <c r="O150" s="504">
        <f>K150</f>
        <v>0.13999999999999999</v>
      </c>
      <c r="P150" s="498"/>
      <c r="Q150" s="488"/>
      <c r="R150" s="489">
        <f>IF($R$1&lt;37,I150,K150)</f>
        <v>0.135</v>
      </c>
      <c r="S150" s="489"/>
      <c r="T150" s="489"/>
      <c r="U150" s="490"/>
      <c r="V150" s="490"/>
      <c r="W150" s="491"/>
      <c r="Y150" s="488"/>
      <c r="Z150" s="489">
        <f>IF($R$1&lt;37,M150,O150)</f>
        <v>0.135</v>
      </c>
      <c r="AA150" s="489"/>
      <c r="AB150" s="489"/>
      <c r="AC150" s="490"/>
      <c r="AD150" s="489"/>
      <c r="AE150" s="491"/>
    </row>
    <row r="151" spans="1:31" s="395" customFormat="1" ht="16.5" customHeight="1" hidden="1">
      <c r="A151" s="724"/>
      <c r="B151" s="727"/>
      <c r="C151" s="713"/>
      <c r="D151" s="493" t="s">
        <v>40</v>
      </c>
      <c r="E151" s="727"/>
      <c r="F151" s="713"/>
      <c r="G151" s="716"/>
      <c r="H151" s="719"/>
      <c r="I151" s="704">
        <v>0.13</v>
      </c>
      <c r="J151" s="705"/>
      <c r="K151" s="501">
        <v>0.135</v>
      </c>
      <c r="L151" s="700"/>
      <c r="M151" s="706">
        <f t="shared" si="27"/>
        <v>0.13</v>
      </c>
      <c r="N151" s="707"/>
      <c r="O151" s="505">
        <f>K151</f>
        <v>0.135</v>
      </c>
      <c r="P151" s="498"/>
      <c r="Q151" s="488"/>
      <c r="R151" s="489">
        <f>IF($R$1&lt;37,I151,K151)</f>
        <v>0.13</v>
      </c>
      <c r="S151" s="489"/>
      <c r="T151" s="489"/>
      <c r="U151" s="490"/>
      <c r="V151" s="490"/>
      <c r="W151" s="491"/>
      <c r="Y151" s="488"/>
      <c r="Z151" s="489">
        <f>IF($R$1&lt;37,M151,O151)</f>
        <v>0.13</v>
      </c>
      <c r="AA151" s="489"/>
      <c r="AB151" s="489"/>
      <c r="AC151" s="490"/>
      <c r="AD151" s="489"/>
      <c r="AE151" s="491"/>
    </row>
    <row r="152" spans="1:31" s="395" customFormat="1" ht="16.5" customHeight="1" hidden="1" thickBot="1">
      <c r="A152" s="725"/>
      <c r="B152" s="728"/>
      <c r="C152" s="714"/>
      <c r="D152" s="494" t="s">
        <v>41</v>
      </c>
      <c r="E152" s="728"/>
      <c r="F152" s="714"/>
      <c r="G152" s="717"/>
      <c r="H152" s="720"/>
      <c r="I152" s="708">
        <v>0.125</v>
      </c>
      <c r="J152" s="709"/>
      <c r="K152" s="502">
        <v>0.13</v>
      </c>
      <c r="L152" s="701"/>
      <c r="M152" s="710">
        <f t="shared" si="27"/>
        <v>0.125</v>
      </c>
      <c r="N152" s="711"/>
      <c r="O152" s="506">
        <f>K152</f>
        <v>0.13</v>
      </c>
      <c r="P152" s="498"/>
      <c r="Q152" s="463"/>
      <c r="R152" s="464">
        <f>IF($R$1&lt;37,I152,K152)</f>
        <v>0.125</v>
      </c>
      <c r="S152" s="464">
        <f>IF($S$1=15,R150,IF($S$1=30,R151,IF($S$1=50,R152,0)))</f>
        <v>0</v>
      </c>
      <c r="T152" s="464">
        <f>S152</f>
        <v>0</v>
      </c>
      <c r="U152" s="466">
        <f>T152</f>
        <v>0</v>
      </c>
      <c r="V152" s="466">
        <f>U152</f>
        <v>0</v>
      </c>
      <c r="W152" s="467"/>
      <c r="Y152" s="463"/>
      <c r="Z152" s="464">
        <f>IF($R$1&lt;37,M152,O152)</f>
        <v>0.125</v>
      </c>
      <c r="AA152" s="464">
        <f>IF($S$1=15,Z150,IF($S$1=30,Z151,IF($S$1=50,Z152,0)))</f>
        <v>0</v>
      </c>
      <c r="AB152" s="464">
        <f>AA152</f>
        <v>0</v>
      </c>
      <c r="AC152" s="466">
        <f>AB152</f>
        <v>0</v>
      </c>
      <c r="AD152" s="464">
        <f>AC152</f>
        <v>0</v>
      </c>
      <c r="AE152" s="467"/>
    </row>
    <row r="153" spans="1:31" s="395" customFormat="1" ht="16.5" customHeight="1">
      <c r="A153" s="484"/>
      <c r="B153" s="485"/>
      <c r="C153" s="486"/>
      <c r="D153" s="486"/>
      <c r="E153" s="486"/>
      <c r="F153" s="486"/>
      <c r="G153" s="487"/>
      <c r="H153" s="485"/>
      <c r="I153" s="496"/>
      <c r="J153" s="496"/>
      <c r="K153" s="496"/>
      <c r="L153" s="368"/>
      <c r="M153" s="497"/>
      <c r="N153" s="496"/>
      <c r="O153" s="496"/>
      <c r="P153" s="498"/>
      <c r="Q153" s="488"/>
      <c r="R153" s="489"/>
      <c r="S153" s="489"/>
      <c r="T153" s="489"/>
      <c r="U153" s="490"/>
      <c r="V153" s="490"/>
      <c r="W153" s="491"/>
      <c r="Y153" s="488"/>
      <c r="Z153" s="489"/>
      <c r="AA153" s="489"/>
      <c r="AB153" s="489"/>
      <c r="AC153" s="490"/>
      <c r="AD153" s="489"/>
      <c r="AE153" s="491"/>
    </row>
    <row r="154" spans="1:31" s="395" customFormat="1" ht="16.5" customHeight="1">
      <c r="A154" s="484"/>
      <c r="B154" s="485"/>
      <c r="C154" s="486"/>
      <c r="D154" s="486"/>
      <c r="E154" s="486"/>
      <c r="F154" s="486"/>
      <c r="G154" s="487"/>
      <c r="H154" s="485"/>
      <c r="I154" s="496"/>
      <c r="J154" s="496"/>
      <c r="K154" s="496"/>
      <c r="L154" s="368"/>
      <c r="M154" s="497"/>
      <c r="N154" s="496"/>
      <c r="O154" s="496"/>
      <c r="P154" s="498"/>
      <c r="Q154" s="488"/>
      <c r="R154" s="489"/>
      <c r="S154" s="489"/>
      <c r="T154" s="489"/>
      <c r="U154" s="490"/>
      <c r="V154" s="490"/>
      <c r="W154" s="491"/>
      <c r="Y154" s="488"/>
      <c r="Z154" s="489"/>
      <c r="AA154" s="489"/>
      <c r="AB154" s="489"/>
      <c r="AC154" s="490"/>
      <c r="AD154" s="489"/>
      <c r="AE154" s="491"/>
    </row>
    <row r="155" spans="1:31" s="395" customFormat="1" ht="16.5" customHeight="1">
      <c r="A155" s="484"/>
      <c r="B155" s="485"/>
      <c r="C155" s="486"/>
      <c r="D155" s="486"/>
      <c r="E155" s="486"/>
      <c r="F155" s="486"/>
      <c r="G155" s="487"/>
      <c r="H155" s="485"/>
      <c r="I155" s="496"/>
      <c r="J155" s="496"/>
      <c r="K155" s="496"/>
      <c r="L155" s="368"/>
      <c r="M155" s="497"/>
      <c r="N155" s="496"/>
      <c r="O155" s="496"/>
      <c r="P155" s="498"/>
      <c r="Q155" s="488"/>
      <c r="R155" s="489"/>
      <c r="S155" s="489"/>
      <c r="T155" s="489"/>
      <c r="U155" s="490"/>
      <c r="V155" s="490"/>
      <c r="W155" s="491"/>
      <c r="Y155" s="488"/>
      <c r="Z155" s="489"/>
      <c r="AA155" s="489"/>
      <c r="AB155" s="489"/>
      <c r="AC155" s="490"/>
      <c r="AD155" s="489"/>
      <c r="AE155" s="491"/>
    </row>
    <row r="156" spans="1:13" s="344" customFormat="1" ht="7.5" customHeight="1">
      <c r="A156" s="342"/>
      <c r="B156" s="343"/>
      <c r="F156" s="345"/>
      <c r="H156" s="346"/>
      <c r="I156" s="346"/>
      <c r="K156" s="347"/>
      <c r="L156" s="347"/>
      <c r="M156" s="347"/>
    </row>
    <row r="157" spans="1:17" s="344" customFormat="1" ht="48" customHeight="1">
      <c r="A157" s="796" t="s">
        <v>220</v>
      </c>
      <c r="B157" s="796"/>
      <c r="C157" s="796"/>
      <c r="D157" s="796"/>
      <c r="E157" s="796"/>
      <c r="F157" s="796"/>
      <c r="G157" s="348"/>
      <c r="H157" s="349"/>
      <c r="I157" s="349"/>
      <c r="J157" s="348"/>
      <c r="K157" s="350"/>
      <c r="L157" s="348"/>
      <c r="M157" s="348"/>
      <c r="N157" s="348"/>
      <c r="O157" s="348"/>
      <c r="P157" s="348"/>
      <c r="Q157" s="348"/>
    </row>
    <row r="158" spans="1:17" s="344" customFormat="1" ht="18.75" customHeight="1">
      <c r="A158" s="351" t="s">
        <v>248</v>
      </c>
      <c r="B158" s="352"/>
      <c r="C158" s="348"/>
      <c r="D158" s="348"/>
      <c r="E158" s="348"/>
      <c r="F158" s="349"/>
      <c r="G158" s="348"/>
      <c r="H158" s="350"/>
      <c r="I158" s="350"/>
      <c r="J158" s="348"/>
      <c r="K158" s="348"/>
      <c r="L158" s="348"/>
      <c r="M158" s="348"/>
      <c r="N158" s="348"/>
      <c r="O158" s="348"/>
      <c r="P158" s="348"/>
      <c r="Q158" s="348"/>
    </row>
    <row r="159" spans="1:17" s="344" customFormat="1" ht="37.5" customHeight="1">
      <c r="A159" s="795" t="s">
        <v>221</v>
      </c>
      <c r="B159" s="795"/>
      <c r="C159" s="795"/>
      <c r="D159" s="795"/>
      <c r="E159" s="795"/>
      <c r="F159" s="795"/>
      <c r="G159" s="795"/>
      <c r="H159" s="795"/>
      <c r="I159" s="795"/>
      <c r="J159" s="795"/>
      <c r="K159" s="795"/>
      <c r="L159" s="795"/>
      <c r="M159" s="795"/>
      <c r="N159" s="795"/>
      <c r="O159" s="795"/>
      <c r="P159" s="795"/>
      <c r="Q159" s="348"/>
    </row>
    <row r="160" spans="1:17" s="344" customFormat="1" ht="18.75" customHeight="1">
      <c r="A160" s="796" t="s">
        <v>222</v>
      </c>
      <c r="B160" s="796"/>
      <c r="C160" s="796"/>
      <c r="D160" s="796"/>
      <c r="E160" s="796"/>
      <c r="F160" s="796"/>
      <c r="G160" s="796"/>
      <c r="H160" s="796"/>
      <c r="I160" s="796"/>
      <c r="J160" s="796"/>
      <c r="K160" s="796"/>
      <c r="L160" s="796"/>
      <c r="M160" s="796"/>
      <c r="N160" s="796"/>
      <c r="O160" s="796"/>
      <c r="P160" s="348"/>
      <c r="Q160" s="348"/>
    </row>
    <row r="161" spans="1:17" s="344" customFormat="1" ht="18.75" customHeight="1">
      <c r="A161" s="829" t="s">
        <v>223</v>
      </c>
      <c r="B161" s="829"/>
      <c r="C161" s="829"/>
      <c r="D161" s="829"/>
      <c r="E161" s="829"/>
      <c r="F161" s="829"/>
      <c r="G161" s="829"/>
      <c r="H161" s="829"/>
      <c r="I161" s="829"/>
      <c r="J161" s="829"/>
      <c r="K161" s="829"/>
      <c r="L161" s="829"/>
      <c r="M161" s="354"/>
      <c r="N161" s="353"/>
      <c r="O161" s="353"/>
      <c r="P161" s="348"/>
      <c r="Q161" s="348"/>
    </row>
    <row r="162" spans="1:17" s="344" customFormat="1" ht="18.75" customHeight="1">
      <c r="A162" s="351" t="s">
        <v>224</v>
      </c>
      <c r="B162" s="352"/>
      <c r="C162" s="348"/>
      <c r="D162" s="348"/>
      <c r="E162" s="348"/>
      <c r="F162" s="349"/>
      <c r="G162" s="348"/>
      <c r="H162" s="350"/>
      <c r="I162" s="350"/>
      <c r="J162" s="348"/>
      <c r="K162" s="348"/>
      <c r="L162" s="348"/>
      <c r="M162" s="348"/>
      <c r="N162" s="348"/>
      <c r="O162" s="348"/>
      <c r="P162" s="348"/>
      <c r="Q162" s="348"/>
    </row>
    <row r="163" spans="1:17" s="344" customFormat="1" ht="18.75" customHeight="1">
      <c r="A163" s="796" t="s">
        <v>225</v>
      </c>
      <c r="B163" s="796"/>
      <c r="C163" s="796"/>
      <c r="D163" s="796"/>
      <c r="E163" s="796"/>
      <c r="F163" s="796"/>
      <c r="G163" s="796"/>
      <c r="H163" s="796"/>
      <c r="I163" s="796"/>
      <c r="J163" s="796"/>
      <c r="K163" s="796"/>
      <c r="L163" s="796"/>
      <c r="M163" s="796"/>
      <c r="N163" s="796"/>
      <c r="O163" s="796"/>
      <c r="P163" s="796"/>
      <c r="Q163" s="796"/>
    </row>
    <row r="164" spans="1:18" s="356" customFormat="1" ht="18.75" customHeight="1">
      <c r="A164" s="351" t="s">
        <v>226</v>
      </c>
      <c r="B164" s="353"/>
      <c r="C164" s="353"/>
      <c r="D164" s="353"/>
      <c r="E164" s="353"/>
      <c r="F164" s="353"/>
      <c r="G164" s="353"/>
      <c r="H164" s="355"/>
      <c r="I164" s="355"/>
      <c r="J164" s="348"/>
      <c r="K164" s="350"/>
      <c r="L164" s="348"/>
      <c r="M164" s="348"/>
      <c r="N164" s="348"/>
      <c r="O164" s="348"/>
      <c r="P164" s="348"/>
      <c r="Q164" s="348"/>
      <c r="R164" s="348"/>
    </row>
    <row r="165" spans="1:18" s="361" customFormat="1" ht="18.75" customHeight="1">
      <c r="A165" s="351" t="s">
        <v>227</v>
      </c>
      <c r="B165" s="357"/>
      <c r="C165" s="357"/>
      <c r="D165" s="357"/>
      <c r="E165" s="357"/>
      <c r="F165" s="357"/>
      <c r="G165" s="357"/>
      <c r="H165" s="358"/>
      <c r="I165" s="358"/>
      <c r="J165" s="359"/>
      <c r="K165" s="360"/>
      <c r="L165" s="359"/>
      <c r="M165" s="359"/>
      <c r="N165" s="359"/>
      <c r="O165" s="359"/>
      <c r="P165" s="359"/>
      <c r="Q165" s="359"/>
      <c r="R165" s="359"/>
    </row>
    <row r="166" spans="1:18" s="361" customFormat="1" ht="18.75" customHeight="1">
      <c r="A166" s="362" t="s">
        <v>228</v>
      </c>
      <c r="B166" s="357"/>
      <c r="C166" s="357"/>
      <c r="D166" s="357"/>
      <c r="E166" s="357"/>
      <c r="F166" s="357"/>
      <c r="G166" s="357"/>
      <c r="H166" s="358"/>
      <c r="I166" s="358"/>
      <c r="J166" s="359"/>
      <c r="K166" s="360"/>
      <c r="L166" s="359"/>
      <c r="M166" s="359"/>
      <c r="N166" s="359"/>
      <c r="O166" s="359"/>
      <c r="P166" s="359"/>
      <c r="Q166" s="359"/>
      <c r="R166" s="359"/>
    </row>
    <row r="167" spans="1:17" ht="7.5" customHeight="1">
      <c r="A167" s="363"/>
      <c r="B167" s="352"/>
      <c r="C167" s="348"/>
      <c r="D167" s="348"/>
      <c r="E167" s="349"/>
      <c r="F167" s="348"/>
      <c r="G167" s="348"/>
      <c r="H167" s="349"/>
      <c r="I167" s="349"/>
      <c r="J167" s="348"/>
      <c r="K167" s="350"/>
      <c r="L167" s="348"/>
      <c r="M167" s="348"/>
      <c r="N167" s="348"/>
      <c r="O167" s="348"/>
      <c r="P167" s="348"/>
      <c r="Q167" s="348"/>
    </row>
    <row r="168" spans="1:17" ht="57.75" customHeight="1">
      <c r="A168" s="827" t="s">
        <v>229</v>
      </c>
      <c r="B168" s="827"/>
      <c r="C168" s="827"/>
      <c r="D168" s="827"/>
      <c r="E168" s="827"/>
      <c r="F168" s="827"/>
      <c r="G168" s="827"/>
      <c r="H168" s="827"/>
      <c r="I168" s="827"/>
      <c r="J168" s="827"/>
      <c r="K168" s="827"/>
      <c r="L168" s="827"/>
      <c r="M168" s="827"/>
      <c r="N168" s="827"/>
      <c r="O168" s="827"/>
      <c r="P168" s="827"/>
      <c r="Q168" s="827"/>
    </row>
    <row r="169" spans="1:15" ht="28.5" customHeight="1">
      <c r="A169" s="828" t="s">
        <v>230</v>
      </c>
      <c r="B169" s="828"/>
      <c r="C169" s="828"/>
      <c r="D169" s="828"/>
      <c r="E169" s="828"/>
      <c r="F169" s="828"/>
      <c r="G169" s="828"/>
      <c r="H169" s="828"/>
      <c r="I169" s="828"/>
      <c r="J169" s="828"/>
      <c r="K169" s="828"/>
      <c r="L169" s="828"/>
      <c r="M169" s="828"/>
      <c r="N169" s="828"/>
      <c r="O169" s="828"/>
    </row>
    <row r="170" spans="1:15" ht="17.25" customHeight="1">
      <c r="A170" s="828" t="s">
        <v>231</v>
      </c>
      <c r="B170" s="828"/>
      <c r="C170" s="828"/>
      <c r="D170" s="828"/>
      <c r="E170" s="828"/>
      <c r="F170" s="828"/>
      <c r="G170" s="828"/>
      <c r="H170" s="828"/>
      <c r="I170" s="828"/>
      <c r="J170" s="828"/>
      <c r="K170" s="828"/>
      <c r="L170" s="828"/>
      <c r="M170" s="828"/>
      <c r="N170" s="828"/>
      <c r="O170" s="828"/>
    </row>
    <row r="171" spans="1:17" ht="6.75" customHeight="1">
      <c r="A171" s="352"/>
      <c r="B171" s="352"/>
      <c r="C171" s="348"/>
      <c r="D171" s="348"/>
      <c r="E171" s="349"/>
      <c r="F171" s="348"/>
      <c r="G171" s="348"/>
      <c r="H171" s="349"/>
      <c r="I171" s="349"/>
      <c r="J171" s="348"/>
      <c r="K171" s="348"/>
      <c r="L171" s="350"/>
      <c r="M171" s="350"/>
      <c r="N171" s="348"/>
      <c r="O171" s="348"/>
      <c r="P171" s="348"/>
      <c r="Q171" s="348"/>
    </row>
    <row r="172" spans="1:17" ht="15" customHeight="1" hidden="1">
      <c r="A172" s="796" t="s">
        <v>232</v>
      </c>
      <c r="B172" s="796"/>
      <c r="C172" s="796"/>
      <c r="D172" s="796"/>
      <c r="E172" s="796"/>
      <c r="F172" s="796"/>
      <c r="G172" s="796"/>
      <c r="H172" s="796"/>
      <c r="I172" s="796"/>
      <c r="J172" s="796"/>
      <c r="K172" s="796"/>
      <c r="L172" s="796"/>
      <c r="M172" s="796"/>
      <c r="N172" s="796"/>
      <c r="O172" s="796"/>
      <c r="P172" s="796"/>
      <c r="Q172" s="796"/>
    </row>
    <row r="173" spans="1:17" ht="6" customHeight="1">
      <c r="A173" s="364"/>
      <c r="B173" s="363"/>
      <c r="C173" s="363"/>
      <c r="D173" s="363"/>
      <c r="E173" s="363"/>
      <c r="F173" s="363"/>
      <c r="G173" s="363"/>
      <c r="H173" s="363"/>
      <c r="I173" s="363"/>
      <c r="J173" s="363"/>
      <c r="K173" s="363"/>
      <c r="L173" s="363"/>
      <c r="M173" s="363"/>
      <c r="N173" s="363"/>
      <c r="O173" s="363"/>
      <c r="P173" s="363"/>
      <c r="Q173" s="363"/>
    </row>
    <row r="174" spans="1:17" ht="14.25">
      <c r="A174" s="365" t="s">
        <v>233</v>
      </c>
      <c r="B174" s="366"/>
      <c r="C174" s="353"/>
      <c r="D174" s="353"/>
      <c r="E174" s="349"/>
      <c r="F174" s="353"/>
      <c r="G174" s="353"/>
      <c r="H174" s="349"/>
      <c r="I174" s="349"/>
      <c r="J174" s="348"/>
      <c r="K174" s="348"/>
      <c r="L174" s="350"/>
      <c r="M174" s="350"/>
      <c r="N174" s="348"/>
      <c r="O174" s="348"/>
      <c r="P174" s="348"/>
      <c r="Q174" s="348"/>
    </row>
    <row r="175" spans="1:17" ht="14.25">
      <c r="A175" s="367" t="s">
        <v>75</v>
      </c>
      <c r="B175" s="366"/>
      <c r="C175" s="348"/>
      <c r="D175" s="348"/>
      <c r="E175" s="349"/>
      <c r="F175" s="348"/>
      <c r="G175" s="348"/>
      <c r="H175" s="349"/>
      <c r="I175" s="349"/>
      <c r="J175" s="348"/>
      <c r="K175" s="348"/>
      <c r="L175" s="350"/>
      <c r="M175" s="350"/>
      <c r="N175" s="348"/>
      <c r="O175" s="348"/>
      <c r="P175" s="348"/>
      <c r="Q175" s="348"/>
    </row>
  </sheetData>
  <sheetProtection/>
  <mergeCells count="397">
    <mergeCell ref="A102:A125"/>
    <mergeCell ref="B102:B117"/>
    <mergeCell ref="C102:C105"/>
    <mergeCell ref="E102:E109"/>
    <mergeCell ref="C106:C109"/>
    <mergeCell ref="C110:C113"/>
    <mergeCell ref="B118:B125"/>
    <mergeCell ref="E110:E117"/>
    <mergeCell ref="C114:C117"/>
    <mergeCell ref="H122:H125"/>
    <mergeCell ref="E123:E125"/>
    <mergeCell ref="L122:L125"/>
    <mergeCell ref="F123:F125"/>
    <mergeCell ref="G102:G125"/>
    <mergeCell ref="H102:H105"/>
    <mergeCell ref="L102:L105"/>
    <mergeCell ref="H106:H109"/>
    <mergeCell ref="L106:L109"/>
    <mergeCell ref="L118:L121"/>
    <mergeCell ref="H110:H113"/>
    <mergeCell ref="H118:H121"/>
    <mergeCell ref="L110:L113"/>
    <mergeCell ref="H114:H117"/>
    <mergeCell ref="L114:L117"/>
    <mergeCell ref="F102:F109"/>
    <mergeCell ref="F110:F117"/>
    <mergeCell ref="C122:C125"/>
    <mergeCell ref="C118:C121"/>
    <mergeCell ref="E119:E121"/>
    <mergeCell ref="F119:F121"/>
    <mergeCell ref="G94:G101"/>
    <mergeCell ref="H94:H101"/>
    <mergeCell ref="L94:L97"/>
    <mergeCell ref="F98:F101"/>
    <mergeCell ref="L98:L101"/>
    <mergeCell ref="F94:F97"/>
    <mergeCell ref="A94:A101"/>
    <mergeCell ref="B94:B97"/>
    <mergeCell ref="C94:C101"/>
    <mergeCell ref="E94:E101"/>
    <mergeCell ref="B98:B101"/>
    <mergeCell ref="L90:L93"/>
    <mergeCell ref="F90:F93"/>
    <mergeCell ref="G90:G93"/>
    <mergeCell ref="H90:H93"/>
    <mergeCell ref="A90:A93"/>
    <mergeCell ref="N91:O91"/>
    <mergeCell ref="J92:K92"/>
    <mergeCell ref="N92:O92"/>
    <mergeCell ref="J93:K93"/>
    <mergeCell ref="N93:O93"/>
    <mergeCell ref="J90:K90"/>
    <mergeCell ref="B90:B91"/>
    <mergeCell ref="C90:C93"/>
    <mergeCell ref="E90:E93"/>
    <mergeCell ref="B92:B93"/>
    <mergeCell ref="L88:L89"/>
    <mergeCell ref="N88:O88"/>
    <mergeCell ref="J89:K89"/>
    <mergeCell ref="N89:O89"/>
    <mergeCell ref="N90:O90"/>
    <mergeCell ref="J91:K91"/>
    <mergeCell ref="F82:F89"/>
    <mergeCell ref="G82:G89"/>
    <mergeCell ref="H82:H83"/>
    <mergeCell ref="L86:L87"/>
    <mergeCell ref="N86:O86"/>
    <mergeCell ref="J87:K87"/>
    <mergeCell ref="N87:O87"/>
    <mergeCell ref="L84:L85"/>
    <mergeCell ref="N84:O84"/>
    <mergeCell ref="J85:K85"/>
    <mergeCell ref="N85:O85"/>
    <mergeCell ref="L82:L83"/>
    <mergeCell ref="N82:O82"/>
    <mergeCell ref="J83:K83"/>
    <mergeCell ref="N83:O83"/>
    <mergeCell ref="J82:K82"/>
    <mergeCell ref="H84:H85"/>
    <mergeCell ref="J84:K84"/>
    <mergeCell ref="J88:K88"/>
    <mergeCell ref="A82:A89"/>
    <mergeCell ref="B82:B85"/>
    <mergeCell ref="C82:C83"/>
    <mergeCell ref="E82:E85"/>
    <mergeCell ref="C84:C85"/>
    <mergeCell ref="B86:B89"/>
    <mergeCell ref="C86:C87"/>
    <mergeCell ref="E86:E89"/>
    <mergeCell ref="C88:C89"/>
    <mergeCell ref="L80:L81"/>
    <mergeCell ref="N80:O80"/>
    <mergeCell ref="J81:K81"/>
    <mergeCell ref="N81:O81"/>
    <mergeCell ref="H86:H87"/>
    <mergeCell ref="J86:K86"/>
    <mergeCell ref="H88:H89"/>
    <mergeCell ref="F74:F81"/>
    <mergeCell ref="L78:L79"/>
    <mergeCell ref="N78:O78"/>
    <mergeCell ref="J79:K79"/>
    <mergeCell ref="N79:O79"/>
    <mergeCell ref="L76:L77"/>
    <mergeCell ref="N76:O76"/>
    <mergeCell ref="J77:K77"/>
    <mergeCell ref="N77:O77"/>
    <mergeCell ref="L74:L75"/>
    <mergeCell ref="N74:O74"/>
    <mergeCell ref="J75:K75"/>
    <mergeCell ref="N75:O75"/>
    <mergeCell ref="G74:G81"/>
    <mergeCell ref="H74:H75"/>
    <mergeCell ref="J74:K74"/>
    <mergeCell ref="H76:H77"/>
    <mergeCell ref="J76:K76"/>
    <mergeCell ref="J80:K80"/>
    <mergeCell ref="H78:H79"/>
    <mergeCell ref="J78:K78"/>
    <mergeCell ref="H80:H81"/>
    <mergeCell ref="A74:A81"/>
    <mergeCell ref="B74:B77"/>
    <mergeCell ref="C74:C75"/>
    <mergeCell ref="E74:E77"/>
    <mergeCell ref="C76:C77"/>
    <mergeCell ref="B78:B81"/>
    <mergeCell ref="C78:C79"/>
    <mergeCell ref="E78:E81"/>
    <mergeCell ref="C80:C81"/>
    <mergeCell ref="L72:L73"/>
    <mergeCell ref="N72:O72"/>
    <mergeCell ref="J73:K73"/>
    <mergeCell ref="N73:O73"/>
    <mergeCell ref="L70:L71"/>
    <mergeCell ref="N70:O70"/>
    <mergeCell ref="J71:K71"/>
    <mergeCell ref="N71:O71"/>
    <mergeCell ref="F70:F73"/>
    <mergeCell ref="G70:G73"/>
    <mergeCell ref="H70:H73"/>
    <mergeCell ref="J70:K70"/>
    <mergeCell ref="J72:K72"/>
    <mergeCell ref="A70:A73"/>
    <mergeCell ref="B70:B71"/>
    <mergeCell ref="C70:C73"/>
    <mergeCell ref="E70:E73"/>
    <mergeCell ref="B72:B73"/>
    <mergeCell ref="L66:L69"/>
    <mergeCell ref="F66:F69"/>
    <mergeCell ref="G66:G69"/>
    <mergeCell ref="H66:H69"/>
    <mergeCell ref="A66:A69"/>
    <mergeCell ref="N66:O66"/>
    <mergeCell ref="J67:K67"/>
    <mergeCell ref="N67:O67"/>
    <mergeCell ref="J68:K68"/>
    <mergeCell ref="N68:O68"/>
    <mergeCell ref="J69:K69"/>
    <mergeCell ref="N69:O69"/>
    <mergeCell ref="J66:K66"/>
    <mergeCell ref="B66:B67"/>
    <mergeCell ref="C66:C69"/>
    <mergeCell ref="E66:E69"/>
    <mergeCell ref="B68:B69"/>
    <mergeCell ref="L60:L62"/>
    <mergeCell ref="B63:B65"/>
    <mergeCell ref="C63:C65"/>
    <mergeCell ref="E63:E65"/>
    <mergeCell ref="F63:F65"/>
    <mergeCell ref="H63:H65"/>
    <mergeCell ref="L63:L65"/>
    <mergeCell ref="F54:F56"/>
    <mergeCell ref="L54:L56"/>
    <mergeCell ref="H57:H59"/>
    <mergeCell ref="L57:L59"/>
    <mergeCell ref="F57:F59"/>
    <mergeCell ref="G57:G65"/>
    <mergeCell ref="F60:F62"/>
    <mergeCell ref="H60:H62"/>
    <mergeCell ref="A57:A65"/>
    <mergeCell ref="B57:B62"/>
    <mergeCell ref="C57:C59"/>
    <mergeCell ref="E57:E59"/>
    <mergeCell ref="C60:C62"/>
    <mergeCell ref="E60:E62"/>
    <mergeCell ref="O48:O50"/>
    <mergeCell ref="A51:A56"/>
    <mergeCell ref="B51:B53"/>
    <mergeCell ref="C51:C56"/>
    <mergeCell ref="E51:E56"/>
    <mergeCell ref="F51:F53"/>
    <mergeCell ref="G51:G56"/>
    <mergeCell ref="H51:H56"/>
    <mergeCell ref="L51:L53"/>
    <mergeCell ref="B54:B56"/>
    <mergeCell ref="O42:O44"/>
    <mergeCell ref="E45:E47"/>
    <mergeCell ref="F45:F47"/>
    <mergeCell ref="K45:K47"/>
    <mergeCell ref="L45:L47"/>
    <mergeCell ref="O45:O47"/>
    <mergeCell ref="F42:F44"/>
    <mergeCell ref="G42:G50"/>
    <mergeCell ref="K42:K44"/>
    <mergeCell ref="L42:L44"/>
    <mergeCell ref="F48:F50"/>
    <mergeCell ref="K48:K50"/>
    <mergeCell ref="L48:L50"/>
    <mergeCell ref="A42:A50"/>
    <mergeCell ref="B42:B47"/>
    <mergeCell ref="C42:C50"/>
    <mergeCell ref="E42:E44"/>
    <mergeCell ref="B48:B50"/>
    <mergeCell ref="E48:E50"/>
    <mergeCell ref="O36:O38"/>
    <mergeCell ref="G39:G41"/>
    <mergeCell ref="K39:K41"/>
    <mergeCell ref="L39:L41"/>
    <mergeCell ref="O39:O41"/>
    <mergeCell ref="H28:H31"/>
    <mergeCell ref="L28:L31"/>
    <mergeCell ref="E29:E31"/>
    <mergeCell ref="A36:A41"/>
    <mergeCell ref="E33:E35"/>
    <mergeCell ref="G36:G38"/>
    <mergeCell ref="K36:K38"/>
    <mergeCell ref="L36:L38"/>
    <mergeCell ref="F36:F38"/>
    <mergeCell ref="B39:B41"/>
    <mergeCell ref="C39:C41"/>
    <mergeCell ref="F39:F41"/>
    <mergeCell ref="L32:L35"/>
    <mergeCell ref="B36:B38"/>
    <mergeCell ref="C36:C38"/>
    <mergeCell ref="E36:E41"/>
    <mergeCell ref="C32:C35"/>
    <mergeCell ref="H32:H35"/>
    <mergeCell ref="F33:F35"/>
    <mergeCell ref="L14:L16"/>
    <mergeCell ref="H17:H19"/>
    <mergeCell ref="L17:L19"/>
    <mergeCell ref="F20:F27"/>
    <mergeCell ref="H20:H23"/>
    <mergeCell ref="L20:L23"/>
    <mergeCell ref="H24:H27"/>
    <mergeCell ref="L24:L27"/>
    <mergeCell ref="H14:H16"/>
    <mergeCell ref="L6:L9"/>
    <mergeCell ref="F10:F13"/>
    <mergeCell ref="L10:L13"/>
    <mergeCell ref="G6:G13"/>
    <mergeCell ref="H6:H13"/>
    <mergeCell ref="F29:F31"/>
    <mergeCell ref="C6:C13"/>
    <mergeCell ref="E6:E13"/>
    <mergeCell ref="F6:F9"/>
    <mergeCell ref="C14:C16"/>
    <mergeCell ref="E14:E19"/>
    <mergeCell ref="C17:C19"/>
    <mergeCell ref="C20:C23"/>
    <mergeCell ref="E20:E27"/>
    <mergeCell ref="A6:A13"/>
    <mergeCell ref="B6:B9"/>
    <mergeCell ref="F14:F19"/>
    <mergeCell ref="G14:G35"/>
    <mergeCell ref="B10:B13"/>
    <mergeCell ref="B14:B27"/>
    <mergeCell ref="C24:C27"/>
    <mergeCell ref="B28:B35"/>
    <mergeCell ref="C28:C31"/>
    <mergeCell ref="A14:A35"/>
    <mergeCell ref="A172:Q172"/>
    <mergeCell ref="A126:A127"/>
    <mergeCell ref="B126:B127"/>
    <mergeCell ref="C126:C127"/>
    <mergeCell ref="A157:F157"/>
    <mergeCell ref="A168:Q168"/>
    <mergeCell ref="A169:O169"/>
    <mergeCell ref="A170:O170"/>
    <mergeCell ref="A161:L161"/>
    <mergeCell ref="A163:Q163"/>
    <mergeCell ref="I4:K4"/>
    <mergeCell ref="M4:O4"/>
    <mergeCell ref="A128:A129"/>
    <mergeCell ref="B128:B129"/>
    <mergeCell ref="C128:C129"/>
    <mergeCell ref="L4:L5"/>
    <mergeCell ref="E3:E5"/>
    <mergeCell ref="F3:F5"/>
    <mergeCell ref="G3:G5"/>
    <mergeCell ref="H3:H5"/>
    <mergeCell ref="A3:A5"/>
    <mergeCell ref="B3:B5"/>
    <mergeCell ref="C3:C5"/>
    <mergeCell ref="D3:D5"/>
    <mergeCell ref="A159:P159"/>
    <mergeCell ref="A160:O160"/>
    <mergeCell ref="M3:O3"/>
    <mergeCell ref="I3:L3"/>
    <mergeCell ref="A130:A132"/>
    <mergeCell ref="B130:B132"/>
    <mergeCell ref="C130:C132"/>
    <mergeCell ref="E130:E132"/>
    <mergeCell ref="F130:F132"/>
    <mergeCell ref="H130:H132"/>
    <mergeCell ref="G131:G132"/>
    <mergeCell ref="J130:K130"/>
    <mergeCell ref="L130:L132"/>
    <mergeCell ref="N130:O130"/>
    <mergeCell ref="I131:K131"/>
    <mergeCell ref="M131:O131"/>
    <mergeCell ref="J132:K132"/>
    <mergeCell ref="N132:O132"/>
    <mergeCell ref="A133:A135"/>
    <mergeCell ref="B133:B135"/>
    <mergeCell ref="C133:C135"/>
    <mergeCell ref="E133:E135"/>
    <mergeCell ref="F133:F135"/>
    <mergeCell ref="K133:K135"/>
    <mergeCell ref="L133:L135"/>
    <mergeCell ref="O133:O135"/>
    <mergeCell ref="I134:J134"/>
    <mergeCell ref="M134:N134"/>
    <mergeCell ref="A136:A138"/>
    <mergeCell ref="B136:B138"/>
    <mergeCell ref="C136:C138"/>
    <mergeCell ref="E136:E138"/>
    <mergeCell ref="F136:F138"/>
    <mergeCell ref="H136:H138"/>
    <mergeCell ref="J136:K136"/>
    <mergeCell ref="L136:L138"/>
    <mergeCell ref="N136:O136"/>
    <mergeCell ref="G137:G138"/>
    <mergeCell ref="I137:K137"/>
    <mergeCell ref="M137:O137"/>
    <mergeCell ref="J138:K138"/>
    <mergeCell ref="N138:O138"/>
    <mergeCell ref="A139:A142"/>
    <mergeCell ref="A143:A146"/>
    <mergeCell ref="B139:B142"/>
    <mergeCell ref="C139:C142"/>
    <mergeCell ref="B143:B146"/>
    <mergeCell ref="C143:C146"/>
    <mergeCell ref="E139:E142"/>
    <mergeCell ref="F139:F142"/>
    <mergeCell ref="E143:E146"/>
    <mergeCell ref="F143:F146"/>
    <mergeCell ref="G139:G142"/>
    <mergeCell ref="I139:J139"/>
    <mergeCell ref="H140:H142"/>
    <mergeCell ref="I140:J140"/>
    <mergeCell ref="I141:J141"/>
    <mergeCell ref="I142:J142"/>
    <mergeCell ref="G143:G146"/>
    <mergeCell ref="I143:J143"/>
    <mergeCell ref="H144:H146"/>
    <mergeCell ref="I144:J144"/>
    <mergeCell ref="I145:J145"/>
    <mergeCell ref="I146:J146"/>
    <mergeCell ref="L139:L142"/>
    <mergeCell ref="L143:L146"/>
    <mergeCell ref="M139:N139"/>
    <mergeCell ref="M140:N140"/>
    <mergeCell ref="M141:N141"/>
    <mergeCell ref="M142:N142"/>
    <mergeCell ref="M143:N143"/>
    <mergeCell ref="M144:N144"/>
    <mergeCell ref="M145:N145"/>
    <mergeCell ref="M146:N146"/>
    <mergeCell ref="A147:A149"/>
    <mergeCell ref="B147:B149"/>
    <mergeCell ref="C147:C149"/>
    <mergeCell ref="E147:E149"/>
    <mergeCell ref="F147:F149"/>
    <mergeCell ref="G147:G149"/>
    <mergeCell ref="I147:J147"/>
    <mergeCell ref="K147:K149"/>
    <mergeCell ref="L147:L149"/>
    <mergeCell ref="M147:N147"/>
    <mergeCell ref="O147:O149"/>
    <mergeCell ref="I148:J148"/>
    <mergeCell ref="M148:N148"/>
    <mergeCell ref="I149:J149"/>
    <mergeCell ref="M149:N149"/>
    <mergeCell ref="A150:A152"/>
    <mergeCell ref="B150:B152"/>
    <mergeCell ref="C150:C152"/>
    <mergeCell ref="E150:E152"/>
    <mergeCell ref="F150:F152"/>
    <mergeCell ref="G150:G152"/>
    <mergeCell ref="H150:H152"/>
    <mergeCell ref="I150:J150"/>
    <mergeCell ref="L150:L152"/>
    <mergeCell ref="M150:N150"/>
    <mergeCell ref="I151:J151"/>
    <mergeCell ref="M151:N151"/>
    <mergeCell ref="I152:J152"/>
    <mergeCell ref="M152:N15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>
    <tabColor indexed="13"/>
  </sheetPr>
  <dimension ref="A1:AY50"/>
  <sheetViews>
    <sheetView zoomScale="95" zoomScaleNormal="9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3.875" style="1" customWidth="1"/>
    <col min="2" max="2" width="14.875" style="1" customWidth="1"/>
    <col min="3" max="4" width="12.625" style="1" customWidth="1"/>
    <col min="5" max="5" width="13.125" style="3" customWidth="1"/>
    <col min="6" max="6" width="18.625" style="4" customWidth="1"/>
    <col min="7" max="7" width="3.625" style="1" customWidth="1"/>
    <col min="8" max="8" width="18.00390625" style="1" customWidth="1"/>
    <col min="9" max="9" width="15.125" style="1" customWidth="1"/>
    <col min="10" max="10" width="13.75390625" style="1" customWidth="1"/>
    <col min="11" max="11" width="14.75390625" style="1" customWidth="1"/>
    <col min="12" max="12" width="13.125" style="1" customWidth="1"/>
    <col min="13" max="13" width="12.625" style="1" customWidth="1"/>
    <col min="14" max="14" width="32.125" style="1" customWidth="1"/>
    <col min="15" max="15" width="21.375" style="1" customWidth="1"/>
    <col min="16" max="16" width="15.375" style="1" customWidth="1"/>
    <col min="17" max="17" width="17.00390625" style="1" customWidth="1"/>
    <col min="18" max="20" width="11.00390625" style="1" customWidth="1"/>
    <col min="21" max="21" width="16.375" style="1" customWidth="1"/>
    <col min="22" max="26" width="9.00390625" style="1" customWidth="1"/>
    <col min="27" max="27" width="12.00390625" style="1" customWidth="1"/>
    <col min="28" max="50" width="9.00390625" style="1" customWidth="1"/>
    <col min="51" max="51" width="13.375" style="1" customWidth="1"/>
    <col min="52" max="16384" width="9.00390625" style="1" customWidth="1"/>
  </cols>
  <sheetData>
    <row r="1" spans="3:8" ht="15" customHeight="1">
      <c r="C1" s="2"/>
      <c r="F1" s="339" t="s">
        <v>254</v>
      </c>
      <c r="H1" s="35"/>
    </row>
    <row r="2" spans="1:51" ht="21" customHeight="1">
      <c r="A2" s="248" t="s">
        <v>141</v>
      </c>
      <c r="B2" s="249"/>
      <c r="C2" s="249"/>
      <c r="D2" s="249"/>
      <c r="E2" s="252"/>
      <c r="F2" s="253"/>
      <c r="H2" s="66"/>
      <c r="M2" s="40"/>
      <c r="N2" s="214"/>
      <c r="O2" s="215"/>
      <c r="P2" s="216"/>
      <c r="X2" s="1" t="s">
        <v>14</v>
      </c>
      <c r="Z2" s="55">
        <v>1</v>
      </c>
      <c r="AB2" s="1" t="s">
        <v>17</v>
      </c>
      <c r="AD2" s="55">
        <v>1</v>
      </c>
      <c r="AF2" s="1" t="s">
        <v>111</v>
      </c>
      <c r="AH2" s="55">
        <v>1</v>
      </c>
      <c r="AJ2" s="1" t="s">
        <v>114</v>
      </c>
      <c r="AM2" s="55">
        <v>1</v>
      </c>
      <c r="AN2" s="1">
        <v>1</v>
      </c>
      <c r="AO2" s="1" t="s">
        <v>118</v>
      </c>
      <c r="AR2" s="55">
        <v>1</v>
      </c>
      <c r="AT2" s="1" t="s">
        <v>134</v>
      </c>
      <c r="AW2" s="55">
        <v>1</v>
      </c>
      <c r="AY2" s="28">
        <f ca="1">TODAY()</f>
        <v>40935</v>
      </c>
    </row>
    <row r="3" spans="1:51" ht="18" customHeight="1">
      <c r="A3" s="174" t="s">
        <v>13</v>
      </c>
      <c r="B3" s="45"/>
      <c r="C3" s="59"/>
      <c r="D3" s="57"/>
      <c r="E3" s="240">
        <f>IF(AND(OR(Z2=2,Z2=3),OR(AM2=2,AM2=3)),"  &lt;&lt; Некорректная валюта кредита для данной программы !!!  Выберите РУБЛИ РФ !!!",IF(AND(OR(Z2=2,Z2=3),OR(AM2=1,AM2=2),AH2=1,OR(AR2=2,AR2=3,AR2=6,AR2=7,AR2=8,AR2=9,AR2=10,AR2=11,AR2=12)),"  &lt;&lt; Некорректная валюта кредита для данной программы !!!  Выберите РУБЛИ РФ !!!",""))</f>
      </c>
      <c r="F3" s="42"/>
      <c r="K3" s="52"/>
      <c r="L3" s="218"/>
      <c r="M3" s="38"/>
      <c r="O3" s="43"/>
      <c r="P3" s="39"/>
      <c r="X3" s="1" t="s">
        <v>15</v>
      </c>
      <c r="AB3" s="1" t="s">
        <v>18</v>
      </c>
      <c r="AF3" s="1" t="s">
        <v>112</v>
      </c>
      <c r="AG3" s="6"/>
      <c r="AH3" s="6"/>
      <c r="AJ3" s="1" t="s">
        <v>115</v>
      </c>
      <c r="AN3" s="1">
        <v>2</v>
      </c>
      <c r="AO3" s="1">
        <f>IF(AM2=3,"",IF(AND(AH2=2,OR(AM2=1,AM2=2)),"",""))</f>
      </c>
      <c r="AT3" s="1" t="s">
        <v>135</v>
      </c>
      <c r="AY3" s="1">
        <f>DAY(AY2)</f>
        <v>27</v>
      </c>
    </row>
    <row r="4" spans="1:41" ht="18" customHeight="1">
      <c r="A4" s="174" t="s">
        <v>110</v>
      </c>
      <c r="B4" s="57"/>
      <c r="C4" s="175"/>
      <c r="D4" s="176"/>
      <c r="E4" s="7"/>
      <c r="F4" s="42"/>
      <c r="G4" s="210"/>
      <c r="H4" s="210"/>
      <c r="I4" s="211"/>
      <c r="K4" s="52"/>
      <c r="L4" s="218"/>
      <c r="M4" s="38"/>
      <c r="O4" s="43"/>
      <c r="P4" s="39"/>
      <c r="X4" s="1" t="s">
        <v>16</v>
      </c>
      <c r="AJ4" s="1" t="s">
        <v>116</v>
      </c>
      <c r="AN4" s="1">
        <v>3</v>
      </c>
      <c r="AO4" s="1">
        <f>IF(AM2=3,"",IF(AND(AH2=2,OR(AM2=1,AM2=2)),"",""))</f>
      </c>
    </row>
    <row r="5" spans="1:41" ht="18" customHeight="1">
      <c r="A5" s="174" t="s">
        <v>113</v>
      </c>
      <c r="B5" s="57"/>
      <c r="C5" s="173"/>
      <c r="D5" s="59"/>
      <c r="E5" s="177"/>
      <c r="F5" s="42"/>
      <c r="G5" s="212"/>
      <c r="H5" s="211"/>
      <c r="I5" s="213"/>
      <c r="K5" s="54"/>
      <c r="L5" s="219"/>
      <c r="M5" s="38"/>
      <c r="O5" s="43"/>
      <c r="P5" s="39"/>
      <c r="AJ5" s="385"/>
      <c r="AN5" s="1">
        <v>4</v>
      </c>
      <c r="AO5" s="385">
        <f>IF(AND(OR(AM2=1,AM2=2),AH2=1),"",IF(AM2=3,"","ЗАЛОГОВЫЕ ТС"))</f>
      </c>
    </row>
    <row r="6" spans="1:41" ht="18" customHeight="1">
      <c r="A6" s="174" t="s">
        <v>117</v>
      </c>
      <c r="B6" s="57"/>
      <c r="C6" s="173" t="str">
        <f>LOOKUP(AR2,AN2:AN13,AO2:AO13)</f>
        <v>БАЗОВАЯ</v>
      </c>
      <c r="D6" s="59"/>
      <c r="E6" s="177"/>
      <c r="F6" s="237">
        <f>IF(C6=""," &lt;&lt; Выберите модификацию программы !!!","")</f>
      </c>
      <c r="G6" s="34"/>
      <c r="H6" s="5"/>
      <c r="M6" s="38"/>
      <c r="O6" s="43"/>
      <c r="P6" s="39"/>
      <c r="AN6" s="1">
        <v>5</v>
      </c>
      <c r="AO6" s="1" t="str">
        <f>IF(AM2=3,"",IF(AND(AH2=2,OR(AM2=1,AM2=2)),"","СПЕЦ.ПРОГРАММА С ДИЛЕРАМИ"))</f>
        <v>СПЕЦ.ПРОГРАММА С ДИЛЕРАМИ</v>
      </c>
    </row>
    <row r="7" spans="1:41" ht="18" customHeight="1">
      <c r="A7" s="56" t="str">
        <f>CONCATENATE("Стоимость автомобиля, ",IF(Z2=1,"руб.",IF(Z2=2,"долл.США","евро")))</f>
        <v>Стоимость автомобиля, руб.</v>
      </c>
      <c r="B7" s="59"/>
      <c r="C7" s="23"/>
      <c r="D7" s="209">
        <v>500000</v>
      </c>
      <c r="E7" s="237">
        <f>IF(AND(AR2&lt;&gt;7,AR2&lt;&gt;8,AR2&lt;&gt;9,AR2&lt;&gt;10,AR2&lt;&gt;11,AR2&lt;&gt;12,OR(AND(D7&lt;IF(Z2=1,300000,10000),AM2=1,AH2=2),AND(D7&lt;IF(Z2=1,300000,10000),AH2=1,AM2=1,D27="нет"))),CONCATENATE("  &lt;&lt; Стоимость автомобиля должна быть не менее ",IF(Z2=1,"300 000 рублей",CONCATENATE("10 000",IF(Z2=3," евро"," долларов США")))," !!!"),"")</f>
      </c>
      <c r="H7" s="53"/>
      <c r="I7" s="50"/>
      <c r="J7" s="50"/>
      <c r="K7" s="50"/>
      <c r="L7" s="50"/>
      <c r="M7" s="38"/>
      <c r="O7" s="43"/>
      <c r="P7" s="39"/>
      <c r="AN7" s="1">
        <v>6</v>
      </c>
      <c r="AO7" s="1" t="str">
        <f>IF(AND(AH2=1,AM2=1),"АВТОСТАТУС - 12 МЕС.","")</f>
        <v>АВТОСТАТУС - 12 МЕС.</v>
      </c>
    </row>
    <row r="8" spans="1:41" ht="18" customHeight="1">
      <c r="A8" s="46" t="str">
        <f>CONCATENATE("Первоначальный взнос, ",IF(Z2=1,"руб.",IF(Z2=2,"долл.США","евро")))</f>
        <v>Первоначальный взнос, руб.</v>
      </c>
      <c r="B8" s="47"/>
      <c r="C8" s="189"/>
      <c r="D8" s="209">
        <v>50000</v>
      </c>
      <c r="E8" s="237">
        <f>IF(D8&gt;D7," &lt;&lt; Первоначальный взнос не может превышать стоимость автомобиля !!!",IF(AND(AH2=1,AM2=1,AR2=7,D8/D7&lt;0.1),CONCATENATE(" &lt;&lt; По программе АВТОСТАТУС VW первоначальный взнос не может быть менее ",D7*0.1," !!!"),IF(AND(AH2=1,AM2=1,AR2=6,D8/D7&lt;0.4),CONCATENATE(" &lt;&lt; По акции АВТОСТАТУС - 12 МЕС. первоначальный взнос не может быть менее ",D7*0.4," !!!"),IF(AND(AH2=1,AO3&lt;&gt;"",OR(AR2=2,AR2=8,AR2=11),D8/D7&lt;0.15),CONCATENATE(" &lt;&lt; По гос.программе субсидирования первоначальный взнос не может быть менее ",D7*0.15," !!!"),IF(AND(AH2=1,AO4&lt;&gt;"",OR(AR2=3,AR2=9,AR2=12),D8/D7&lt;0.15),CONCATENATE(" &lt;&lt; По гос.программе утилизации первоначальный взнос не может быть менее ",D7*0.15," !!!"),IF(AND(AH2=2,D8/D7&lt;0.2),CONCATENATE(" &lt;&lt; При кредите на подержанный автомобиль взнос не может быть менее ",D7*0.2," !!!"),""))))))</f>
      </c>
      <c r="H8" s="53"/>
      <c r="I8" s="49"/>
      <c r="J8" s="50"/>
      <c r="K8" s="50"/>
      <c r="L8" s="50"/>
      <c r="M8" s="38"/>
      <c r="O8" s="43"/>
      <c r="P8" s="39"/>
      <c r="AN8" s="1">
        <v>7</v>
      </c>
      <c r="AO8" s="1" t="str">
        <f>IF(AND(AH2=1,AM2=1),"АВТОСТАТУС VW","")</f>
        <v>АВТОСТАТУС VW</v>
      </c>
    </row>
    <row r="9" spans="1:41" ht="21" customHeight="1">
      <c r="A9" s="217" t="s">
        <v>140</v>
      </c>
      <c r="D9" s="178"/>
      <c r="E9" s="179"/>
      <c r="H9" s="50"/>
      <c r="I9" s="18"/>
      <c r="J9" s="53"/>
      <c r="K9" s="50"/>
      <c r="L9" s="220"/>
      <c r="M9" s="211"/>
      <c r="AN9" s="1">
        <v>8</v>
      </c>
      <c r="AO9" s="1">
        <f>IF(AND(AH2=1,AM2=1),"","")</f>
      </c>
    </row>
    <row r="10" spans="1:41" ht="3.75" customHeight="1">
      <c r="A10" s="65"/>
      <c r="D10" s="178"/>
      <c r="E10" s="179"/>
      <c r="F10" s="54"/>
      <c r="G10" s="180"/>
      <c r="H10" s="50"/>
      <c r="I10" s="18"/>
      <c r="J10" s="53"/>
      <c r="K10" s="50"/>
      <c r="L10" s="220"/>
      <c r="M10" s="211"/>
      <c r="AN10" s="1">
        <v>9</v>
      </c>
      <c r="AO10" s="1">
        <f>IF(AND(AH2=1,AM2=1),"","")</f>
      </c>
    </row>
    <row r="11" spans="1:41" ht="15" customHeight="1">
      <c r="A11" s="65" t="str">
        <f>IF(AM2=3,"","Страховой тариф по КАСКО (в % от стоимости автомобиля)")</f>
        <v>Страховой тариф по КАСКО (в % от стоимости автомобиля)</v>
      </c>
      <c r="D11" s="178"/>
      <c r="F11" s="198">
        <v>8.58</v>
      </c>
      <c r="G11" s="180"/>
      <c r="H11" s="50"/>
      <c r="I11" s="18"/>
      <c r="J11" s="53"/>
      <c r="K11" s="50"/>
      <c r="L11" s="220"/>
      <c r="M11" s="211"/>
      <c r="AN11" s="1">
        <v>10</v>
      </c>
      <c r="AO11" s="1" t="str">
        <f>IF(AND(AH2=1,AM2=1),"АВТОСТАТУС MultiFinance","")</f>
        <v>АВТОСТАТУС MultiFinance</v>
      </c>
    </row>
    <row r="12" spans="1:41" ht="15" customHeight="1">
      <c r="A12" s="65" t="str">
        <f>IF(AM2=3,"","    Способ оплаты страховой премии по КАСКО")</f>
        <v>    Способ оплаты страховой премии по КАСКО</v>
      </c>
      <c r="D12" s="178"/>
      <c r="E12" s="1"/>
      <c r="F12" s="199" t="s">
        <v>215</v>
      </c>
      <c r="G12" s="245">
        <f>IF(AND(F12="в кредит",AH2=1,OR(AND(AO3&lt;&gt;"",AR2=2),AND(AO9&lt;&gt;"",AR2=8),AND(AO12&lt;&gt;"",AR2=11))),"    &lt;&lt; Выберите вариант 'наличные' !!!",IF(AND(F12="в кредит",OR(AND(AH2=1,D8/D7&lt;0.1),AND(AH2=2,D8/D7&lt;0.2))),"    &lt;&lt; Выберите вариант 'наличные' !!!",""))</f>
      </c>
      <c r="H12" s="50"/>
      <c r="I12" s="18"/>
      <c r="J12" s="53"/>
      <c r="K12" s="50"/>
      <c r="L12" s="220"/>
      <c r="M12" s="211"/>
      <c r="AN12" s="1">
        <v>11</v>
      </c>
      <c r="AO12" s="1">
        <f>IF(AND(AH2=1,AM2=1),"","")</f>
      </c>
    </row>
    <row r="13" spans="1:41" ht="3.75" customHeight="1">
      <c r="A13" s="66"/>
      <c r="D13" s="178"/>
      <c r="E13" s="1"/>
      <c r="F13" s="178"/>
      <c r="G13" s="180"/>
      <c r="H13" s="50"/>
      <c r="I13" s="18"/>
      <c r="J13" s="53"/>
      <c r="K13" s="50"/>
      <c r="L13" s="220"/>
      <c r="M13" s="211"/>
      <c r="AN13" s="1">
        <v>12</v>
      </c>
      <c r="AO13" s="1">
        <f>IF(AND(AH2=1,AM2=1),"","")</f>
      </c>
    </row>
    <row r="14" spans="1:13" ht="15" customHeight="1">
      <c r="A14" s="66" t="s">
        <v>142</v>
      </c>
      <c r="D14" s="178"/>
      <c r="E14" s="1"/>
      <c r="F14" s="199" t="s">
        <v>132</v>
      </c>
      <c r="G14" s="180"/>
      <c r="H14" s="50"/>
      <c r="I14" s="18"/>
      <c r="J14" s="53"/>
      <c r="K14" s="50"/>
      <c r="L14" s="220"/>
      <c r="M14" s="211"/>
    </row>
    <row r="15" spans="1:13" ht="15" customHeight="1">
      <c r="A15" s="18" t="str">
        <f>IF(F14="нет","",CONCATENATE("Страховая премия по ДСАГО, ",IF(Z2=1,"руб.",IF(Z2=2,"долл.США","евро"))))</f>
        <v>Страховая премия по ДСАГО, руб.</v>
      </c>
      <c r="B15" s="9"/>
      <c r="C15" s="9"/>
      <c r="D15" s="327"/>
      <c r="E15" s="1"/>
      <c r="F15" s="239">
        <v>2000</v>
      </c>
      <c r="G15" s="180"/>
      <c r="H15" s="50"/>
      <c r="I15" s="18"/>
      <c r="J15" s="53"/>
      <c r="K15" s="50"/>
      <c r="L15" s="220"/>
      <c r="M15" s="211"/>
    </row>
    <row r="16" spans="1:13" ht="15" customHeight="1">
      <c r="A16" s="65" t="str">
        <f>IF(F14="нет","","    Способ оплаты страховой премии по ДСАГО")</f>
        <v>    Способ оплаты страховой премии по ДСАГО</v>
      </c>
      <c r="E16" s="1"/>
      <c r="F16" s="199" t="s">
        <v>215</v>
      </c>
      <c r="G16" s="245">
        <f>IF(AND(F14="да",F16="в кредит",AH2=1,OR(AND(AO3&lt;&gt;"",AR2=2),AND(AO9&lt;&gt;"",AR2=8),AND(AO12&lt;&gt;"",AR2=11))),"    &lt;&lt; Выберите вариант 'наличные' !!!",IF(AND(F14="да",F16="в кредит",OR(AND(AH2=1,D8/D7&lt;0.1),AND(AH2=2,D8/D7&lt;0.2))),"    &lt;&lt; Выберите вариант 'наличные' !!!",""))</f>
      </c>
      <c r="H16" s="50"/>
      <c r="I16" s="18"/>
      <c r="J16" s="53"/>
      <c r="K16" s="50"/>
      <c r="L16" s="220"/>
      <c r="M16" s="211"/>
    </row>
    <row r="17" spans="1:13" ht="4.5" customHeight="1">
      <c r="A17" s="65"/>
      <c r="E17" s="1"/>
      <c r="F17" s="1"/>
      <c r="G17" s="180"/>
      <c r="H17" s="50"/>
      <c r="I17" s="18"/>
      <c r="J17" s="53"/>
      <c r="K17" s="50"/>
      <c r="L17" s="220"/>
      <c r="M17" s="211"/>
    </row>
    <row r="18" spans="1:13" ht="15" customHeight="1">
      <c r="A18" s="65" t="str">
        <f>CONCATENATE("Страховая премия по ОСАГО, ",IF(Z2=1,"руб.",IF(Z2=2,"долл.США","евро")))</f>
        <v>Страховая премия по ОСАГО, руб.</v>
      </c>
      <c r="D18" s="178"/>
      <c r="E18" s="1"/>
      <c r="F18" s="239">
        <v>5110</v>
      </c>
      <c r="G18" s="180"/>
      <c r="H18" s="50"/>
      <c r="I18" s="18"/>
      <c r="J18" s="53"/>
      <c r="K18" s="50"/>
      <c r="L18" s="220"/>
      <c r="M18" s="211"/>
    </row>
    <row r="19" spans="1:13" ht="15" customHeight="1">
      <c r="A19" s="65" t="s">
        <v>143</v>
      </c>
      <c r="D19" s="178"/>
      <c r="E19" s="1"/>
      <c r="F19" s="199" t="s">
        <v>215</v>
      </c>
      <c r="G19" s="245">
        <f>IF(AND(F19="в кредит",AH2=1,OR(AND(AO3&lt;&gt;"",AR2=2),AND(AO9&lt;&gt;"",AR2=8),AND(AO12&lt;&gt;"",AR2=11))),"    &lt;&lt; Выберите вариант 'наличные' !!!",IF(AND(F19="в кредит",OR(AND(AH2=1,D8/D7&lt;0.1),AND(AH2=2,D8/D7&lt;0.2))),"    &lt;&lt; Выберите вариант 'наличные' !!!",""))</f>
      </c>
      <c r="H19" s="50"/>
      <c r="I19" s="18"/>
      <c r="J19" s="53"/>
      <c r="K19" s="50"/>
      <c r="L19" s="220"/>
      <c r="M19" s="211"/>
    </row>
    <row r="20" spans="1:13" ht="4.5" customHeight="1">
      <c r="A20" s="65"/>
      <c r="E20" s="1"/>
      <c r="F20" s="1"/>
      <c r="G20" s="180"/>
      <c r="H20" s="50"/>
      <c r="I20" s="18"/>
      <c r="J20" s="53"/>
      <c r="K20" s="50"/>
      <c r="L20" s="220"/>
      <c r="M20" s="211"/>
    </row>
    <row r="21" spans="1:13" ht="15" customHeight="1">
      <c r="A21" s="65" t="s">
        <v>131</v>
      </c>
      <c r="E21" s="1"/>
      <c r="F21" s="199" t="s">
        <v>132</v>
      </c>
      <c r="G21" s="180"/>
      <c r="H21" s="50"/>
      <c r="I21" s="18"/>
      <c r="J21" s="53"/>
      <c r="K21" s="50"/>
      <c r="L21" s="220"/>
      <c r="M21" s="211"/>
    </row>
    <row r="22" spans="1:13" ht="15" customHeight="1">
      <c r="A22" s="18" t="str">
        <f>IF(F21="нет","","Страховой тариф по ЖИЗНИ и ЗДОРОВЬЮ (% от суммы кредита в год)")</f>
        <v>Страховой тариф по ЖИЗНИ и ЗДОРОВЬЮ (% от суммы кредита в год)</v>
      </c>
      <c r="B22" s="6"/>
      <c r="C22" s="6"/>
      <c r="D22" s="9"/>
      <c r="E22" s="1"/>
      <c r="F22" s="202">
        <v>1.5</v>
      </c>
      <c r="G22" s="180"/>
      <c r="H22" s="50"/>
      <c r="I22" s="18"/>
      <c r="J22" s="53"/>
      <c r="K22" s="50"/>
      <c r="L22" s="220"/>
      <c r="M22" s="211"/>
    </row>
    <row r="23" spans="1:13" ht="15" customHeight="1">
      <c r="A23" s="65" t="str">
        <f>IF(F21="нет","","    Способ оплаты страховой премии по риску ЖИЗНЬ и ЗДОРОВЬЕ")</f>
        <v>    Способ оплаты страховой премии по риску ЖИЗНЬ и ЗДОРОВЬЕ</v>
      </c>
      <c r="E23" s="1"/>
      <c r="F23" s="199" t="s">
        <v>215</v>
      </c>
      <c r="G23" s="245">
        <f>IF(AND(F21="да",F23="в кредит",AH2=1,OR(AND(AO3&lt;&gt;"",AR2=2),AND(AO9&lt;&gt;"",AR2=8),AND(AO12&lt;&gt;"",AR2=11))),"    &lt;&lt; Выберите вариант 'наличные' !!!",IF(AND(F21="да",F23="в кредит",OR(AND(AH2=1,D8/D7&lt;0.1),AND(AH2=2,D8/D7&lt;0.2))),"    &lt;&lt; Выберите вариант 'наличные' !!!",""))</f>
      </c>
      <c r="H23" s="50"/>
      <c r="I23" s="18"/>
      <c r="J23" s="53"/>
      <c r="K23" s="50"/>
      <c r="L23" s="220"/>
      <c r="M23" s="211"/>
    </row>
    <row r="24" spans="1:13" ht="5.25" customHeight="1">
      <c r="A24" s="65"/>
      <c r="D24" s="178"/>
      <c r="E24" s="179"/>
      <c r="F24" s="54"/>
      <c r="G24" s="180"/>
      <c r="H24" s="50"/>
      <c r="I24" s="18"/>
      <c r="J24" s="53"/>
      <c r="K24" s="50"/>
      <c r="L24" s="220"/>
      <c r="M24" s="211"/>
    </row>
    <row r="25" spans="1:13" s="6" customFormat="1" ht="17.25" customHeight="1">
      <c r="A25" s="207" t="s">
        <v>133</v>
      </c>
      <c r="B25" s="57"/>
      <c r="C25" s="173"/>
      <c r="D25" s="200"/>
      <c r="F25" s="50"/>
      <c r="G25" s="50"/>
      <c r="H25" s="50"/>
      <c r="I25" s="18"/>
      <c r="J25" s="50"/>
      <c r="K25" s="50"/>
      <c r="L25" s="221"/>
      <c r="M25" s="222"/>
    </row>
    <row r="26" spans="1:13" s="6" customFormat="1" ht="5.25" customHeight="1">
      <c r="A26" s="65"/>
      <c r="B26" s="58"/>
      <c r="C26" s="204"/>
      <c r="D26" s="37"/>
      <c r="F26" s="50"/>
      <c r="G26" s="50"/>
      <c r="H26" s="50"/>
      <c r="I26" s="18"/>
      <c r="J26" s="50"/>
      <c r="K26" s="50"/>
      <c r="L26" s="221"/>
      <c r="M26" s="222"/>
    </row>
    <row r="27" spans="1:13" s="6" customFormat="1" ht="15" customHeight="1">
      <c r="A27" s="65" t="s">
        <v>24</v>
      </c>
      <c r="C27" s="58"/>
      <c r="D27" s="199" t="s">
        <v>132</v>
      </c>
      <c r="E27" s="237">
        <f>IF(AND(D27="нет",AH2=1,AM2=1,OR(AR2=7,AR2=8,AR2=9,AR2=10,AR2=11,AR2=12)),"    &lt;&lt; Укажите 'да' !!!",IF(AND(D27="да",OR(AM2=2,AM2=3)),"    &lt;&lt; Укажите 'нет' !!!",IF(AND(AM2=1,AH2=2,F40&gt;=600000,D27="нет"),"    &lt;&lt; Укажите 'да' !!!",IF(AND(AM2=1,AH2=2,F40&lt;600000,D27="да"),"    &lt;&lt; Укажите 'нет' !!!",IF(AND(AM2=1,AH2=1,F40&gt;1500000,D27="нет"),"    &lt;&lt; Укажите 'да' !!!",IF(AND(AM2=1,AH2=1,F36&lt;10,D27="нет"),"    &lt;&lt; Укажите 'да' !!!",IF(AND(AM2=1,AH2=1,F36&gt;=10,F40&lt;=1500000,AW2=2,D27="да",AR2&lt;&gt;7,AR2&lt;&gt;8,AR2&lt;&gt;9,AR2&lt;&gt;10,AR2&lt;&gt;11,AR2&lt;&gt;12),"    &lt;&lt; Укажите 'нет' !!!","")))))))</f>
      </c>
      <c r="G27" s="50"/>
      <c r="H27" s="50"/>
      <c r="I27" s="18"/>
      <c r="J27" s="50"/>
      <c r="K27" s="50"/>
      <c r="L27" s="221"/>
      <c r="M27" s="222"/>
    </row>
    <row r="28" spans="1:13" s="9" customFormat="1" ht="3.75" customHeight="1">
      <c r="A28" s="6"/>
      <c r="B28" s="6"/>
      <c r="C28" s="13"/>
      <c r="E28" s="8"/>
      <c r="F28" s="64"/>
      <c r="G28" s="51"/>
      <c r="H28" s="51"/>
      <c r="I28" s="18"/>
      <c r="J28" s="50"/>
      <c r="K28" s="50"/>
      <c r="L28" s="221"/>
      <c r="M28" s="223"/>
    </row>
    <row r="29" spans="1:17" s="9" customFormat="1" ht="15" customHeight="1">
      <c r="A29" s="61" t="s">
        <v>119</v>
      </c>
      <c r="B29" s="66"/>
      <c r="D29" s="203">
        <v>36</v>
      </c>
      <c r="E29" s="237">
        <f>IF(D29&lt;6,"  &lt;&lt; Должно быть не менее 6 мес. !!!",IF(AND(AH2=1,AM2=1,OR(AR2=7,AR2=8,AR2=9),D29&lt;13,D8/D7&lt;0.3)," &lt;&lt; Должно быть не менее 13 мес. !!!",IF(AND(AH2=1,AM2=1,AR2=8,D29&lt;13,D8/D7&gt;=0.5)," &lt;&lt; Должно быть не менее 13 мес. !!!",IF(AND(D29&gt;34,AH2=1,OR(AND(AO3&lt;&gt;"",AR2=2),AND(AO9&lt;&gt;"",AR2=8),AND(AO12&lt;&gt;"",AR2=11)))," &lt;&lt; По гос.программе субсидирования должно быть не более 34 мес. !!!",IF(D29&gt;60," &lt;&lt; Должно быть не более 60 мес.!!!",IF(AND(D29&gt;12,AM2=1,AH2=1,AR2=6)," &lt;&lt; Должно быть не более 12 мес.!!!",""))))))</f>
      </c>
      <c r="G29" s="32"/>
      <c r="H29" s="32"/>
      <c r="L29" s="224"/>
      <c r="M29" s="225"/>
      <c r="N29" s="11"/>
      <c r="O29" s="11"/>
      <c r="P29" s="11"/>
      <c r="Q29" s="11"/>
    </row>
    <row r="30" spans="1:17" s="9" customFormat="1" ht="15" customHeight="1">
      <c r="A30" s="61" t="s">
        <v>4</v>
      </c>
      <c r="B30" s="254"/>
      <c r="D30" s="205">
        <v>40931</v>
      </c>
      <c r="E30" s="201"/>
      <c r="I30" s="62"/>
      <c r="J30" s="62"/>
      <c r="L30" s="226"/>
      <c r="M30" s="225"/>
      <c r="N30" s="11"/>
      <c r="O30" s="11"/>
      <c r="P30" s="11"/>
      <c r="Q30" s="11"/>
    </row>
    <row r="31" spans="1:17" s="9" customFormat="1" ht="15" customHeight="1">
      <c r="A31" s="61" t="s">
        <v>136</v>
      </c>
      <c r="D31" s="203">
        <v>23</v>
      </c>
      <c r="E31" s="201"/>
      <c r="I31" s="62"/>
      <c r="J31" s="62"/>
      <c r="L31" s="226"/>
      <c r="M31" s="225"/>
      <c r="N31" s="11"/>
      <c r="O31" s="11"/>
      <c r="P31" s="11"/>
      <c r="Q31" s="11"/>
    </row>
    <row r="32" spans="1:17" s="9" customFormat="1" ht="4.5" customHeight="1" thickBot="1">
      <c r="A32" s="231"/>
      <c r="B32" s="231"/>
      <c r="C32" s="231"/>
      <c r="D32" s="231"/>
      <c r="E32" s="231"/>
      <c r="F32" s="231"/>
      <c r="J32" s="63"/>
      <c r="L32" s="226"/>
      <c r="M32" s="225"/>
      <c r="N32" s="11"/>
      <c r="O32" s="11"/>
      <c r="P32" s="11"/>
      <c r="Q32" s="11"/>
    </row>
    <row r="33" spans="10:17" s="9" customFormat="1" ht="4.5" customHeight="1">
      <c r="J33" s="63"/>
      <c r="L33" s="226"/>
      <c r="M33" s="225"/>
      <c r="N33" s="11"/>
      <c r="O33" s="11"/>
      <c r="P33" s="11"/>
      <c r="Q33" s="11"/>
    </row>
    <row r="34" spans="1:17" s="9" customFormat="1" ht="23.25" customHeight="1">
      <c r="A34" s="248" t="s">
        <v>137</v>
      </c>
      <c r="B34" s="249"/>
      <c r="C34" s="249"/>
      <c r="D34" s="250"/>
      <c r="E34" s="251"/>
      <c r="F34" s="250"/>
      <c r="J34" s="63"/>
      <c r="L34" s="226"/>
      <c r="M34" s="225"/>
      <c r="N34" s="11"/>
      <c r="O34" s="11"/>
      <c r="P34" s="11"/>
      <c r="Q34" s="11"/>
    </row>
    <row r="35" spans="1:17" s="9" customFormat="1" ht="3" customHeight="1">
      <c r="A35" s="18"/>
      <c r="B35" s="6"/>
      <c r="C35" s="6"/>
      <c r="E35" s="201"/>
      <c r="J35" s="63"/>
      <c r="L35" s="226"/>
      <c r="M35" s="225"/>
      <c r="N35" s="11"/>
      <c r="O35" s="11"/>
      <c r="P35" s="11"/>
      <c r="Q35" s="11"/>
    </row>
    <row r="36" spans="1:17" s="9" customFormat="1" ht="15.75" customHeight="1">
      <c r="A36" s="18" t="s">
        <v>138</v>
      </c>
      <c r="B36" s="6"/>
      <c r="C36" s="6"/>
      <c r="F36" s="315">
        <f>D8/D7*100</f>
        <v>10</v>
      </c>
      <c r="H36" s="428">
        <f>IF(AND(F36&lt;40,AM2=1,AH2=1,AR2=6)," &lt;&lt; Должно быть не менее 40%","")</f>
      </c>
      <c r="J36" s="63"/>
      <c r="L36" s="226"/>
      <c r="M36" s="225"/>
      <c r="N36" s="11"/>
      <c r="O36" s="11"/>
      <c r="P36" s="11"/>
      <c r="Q36" s="11"/>
    </row>
    <row r="37" spans="1:17" s="9" customFormat="1" ht="15">
      <c r="A37" s="18" t="str">
        <f>IF(AM2=3,"",CONCATENATE("Страховая премия по страхованию КАСКО, ",IF(Z2=1,"руб.",IF(Z2=2,"долл.США","евро"))))</f>
        <v>Страховая премия по страхованию КАСКО, руб.</v>
      </c>
      <c r="D37" s="327"/>
      <c r="F37" s="238">
        <f>IF(AM2=3,0,F11/100*D7)</f>
        <v>42900</v>
      </c>
      <c r="I37" s="44"/>
      <c r="L37" s="224"/>
      <c r="M37" s="225"/>
      <c r="O37" s="11"/>
      <c r="Q37" s="11"/>
    </row>
    <row r="38" spans="1:17" s="9" customFormat="1" ht="15">
      <c r="A38" s="18" t="str">
        <f>IF(F21="нет","",CONCATENATE("Страховая премия по страхованию жизни, ",IF(Z2=2,"долл.США",IF(Z2=3,"евро","руб."))))</f>
        <v>Страховая премия по страхованию жизни, руб.</v>
      </c>
      <c r="D38" s="327"/>
      <c r="F38" s="238">
        <f>IF(F21="нет",0,F40*F22/100*D29/12)</f>
        <v>20250</v>
      </c>
      <c r="M38" s="11"/>
      <c r="O38" s="11"/>
      <c r="Q38" s="11"/>
    </row>
    <row r="39" spans="13:17" s="9" customFormat="1" ht="9.75" customHeight="1">
      <c r="M39" s="11"/>
      <c r="O39" s="11"/>
      <c r="Q39" s="11"/>
    </row>
    <row r="40" spans="1:17" s="9" customFormat="1" ht="18.75">
      <c r="A40" s="234" t="str">
        <f>CONCATENATE("Сумма кредита, ",IF(Z2=2,"долл.США",IF(Z2=3,"евро","руб.")))</f>
        <v>Сумма кредита, руб.</v>
      </c>
      <c r="D40" s="327"/>
      <c r="F40" s="233">
        <f>IF(OR(E3&lt;&gt;"",F6&lt;&gt;"",E7&lt;&gt;"",E8&lt;&gt;"",G12&lt;&gt;"",G16&lt;&gt;"",G19&lt;&gt;"",G23&lt;&gt;"",E29&lt;&gt;""),0,CEILING(((D7-D8+IF(F12="в кредит",F37,0)+IF(AND(F14="да",F16="в кредит"),F15,0)+IF(F19="в кредит",F18,0)))/(1-IF(AND(F21="да",F23="в кредит"),F22/100*D29/12,0)),1))</f>
        <v>450000</v>
      </c>
      <c r="G40" s="15">
        <f>IF(F40=0," Некорректно заданы исходные данные !!!","")</f>
      </c>
      <c r="I40" s="44"/>
      <c r="L40" s="48"/>
      <c r="M40" s="11"/>
      <c r="O40" s="11"/>
      <c r="Q40" s="11"/>
    </row>
    <row r="41" spans="1:17" s="9" customFormat="1" ht="15">
      <c r="A41" s="235" t="s">
        <v>139</v>
      </c>
      <c r="D41" s="327"/>
      <c r="F41" s="426">
        <f>IF(OR(E3&lt;&gt;"",F6&lt;&gt;"",E7&lt;&gt;"",E8&lt;&gt;"",G12&lt;&gt;"",G16&lt;&gt;"",G19&lt;&gt;"",G23&lt;&gt;"",E29&lt;&gt;""),0,IF(AND(F21&lt;&gt;"да",OR(AR2=1,AR2=4)),IF(ISBLANK('Формат тарифов'!B7)=FALSE,'Базовые модиф. (без страх)'!AE66,'Базовые модиф. (без страх)'!W66),IF(AND(F21="да",OR(AR2=1,AR2=4)),IF(ISBLANK('Формат тарифов'!B7)=FALSE,'Базовые модиф (со страх)'!AE62,'Базовые модиф (со страх)'!W62),IF(ISBLANK('Формат тарифов'!B7)=FALSE,'Гос. и спец. прогр.'!AE129,'Гос. и спец. прогр.'!W129))))</f>
        <v>0.14500000000000002</v>
      </c>
      <c r="G41" s="15">
        <f>IF(F40=0," Расчет невозможен !!!","")</f>
      </c>
      <c r="I41" s="44"/>
      <c r="L41" s="48"/>
      <c r="M41" s="60"/>
      <c r="N41" s="11"/>
      <c r="O41" s="11"/>
      <c r="P41" s="11"/>
      <c r="Q41" s="11"/>
    </row>
    <row r="42" spans="1:17" s="9" customFormat="1" ht="15">
      <c r="A42" s="235">
        <f>IF(AND(AH2=1,AM2=1,OR(AR2=6,AR2=7,AR2=8,AR2=9,AR2=10,AR2=11,AR2=12)),"",IF(ISBLANK('Формат тарифов'!B7)=FALSE,"",CONCATENATE("Комиссия за выдачу кредита, ",IF(Z2=2,"долл.США",IF(Z2=3,"евро","руб.")))))</f>
      </c>
      <c r="D42" s="327"/>
      <c r="F42" s="236">
        <f>IF(OR(E3&lt;&gt;"",F6&lt;&gt;"",E7&lt;&gt;"",E8&lt;&gt;"",G12&lt;&gt;"",G16&lt;&gt;"",G19&lt;&gt;"",G23&lt;&gt;"",E29&lt;&gt;""),0,IF(AND(AH2=1,AM2=1,OR(AR2=6,AR2=7,AR2=8,AR2=9,AR2=10,AR2=11,AR2=12)),0,IF(ISBLANK('Формат тарифов'!B7)=FALSE,0,IF(Z2=1,6000,200))))</f>
        <v>0</v>
      </c>
      <c r="I42" s="44"/>
      <c r="L42" s="48"/>
      <c r="M42" s="60"/>
      <c r="N42" s="11"/>
      <c r="O42" s="11"/>
      <c r="P42" s="11"/>
      <c r="Q42" s="11"/>
    </row>
    <row r="43" spans="1:17" s="9" customFormat="1" ht="15">
      <c r="A43" s="235" t="str">
        <f>CONCATENATE("Сумма ежемесячного платежа по кредиту, ",IF(Z2=2,"долл.США",IF(Z2=3,"евро","руб.")))</f>
        <v>Сумма ежемесячного платежа по кредиту, руб.</v>
      </c>
      <c r="D43" s="327"/>
      <c r="F43" s="236">
        <f>ГРАФИК!H14</f>
        <v>15485.69</v>
      </c>
      <c r="H43" s="247"/>
      <c r="I43" s="44"/>
      <c r="L43" s="48"/>
      <c r="M43" s="60"/>
      <c r="N43" s="11"/>
      <c r="O43" s="11"/>
      <c r="P43" s="11"/>
      <c r="Q43" s="11"/>
    </row>
    <row r="44" spans="1:17" s="9" customFormat="1" ht="10.5" customHeight="1" thickBot="1">
      <c r="A44" s="232"/>
      <c r="B44" s="231"/>
      <c r="C44" s="231"/>
      <c r="D44" s="328"/>
      <c r="E44" s="231"/>
      <c r="F44" s="231"/>
      <c r="I44" s="44"/>
      <c r="L44" s="48"/>
      <c r="M44" s="60"/>
      <c r="N44" s="11"/>
      <c r="O44" s="11"/>
      <c r="P44" s="11"/>
      <c r="Q44" s="11"/>
    </row>
    <row r="45" spans="1:17" s="9" customFormat="1" ht="17.25" customHeight="1">
      <c r="A45" s="227"/>
      <c r="B45" s="228"/>
      <c r="C45" s="228"/>
      <c r="D45" s="329"/>
      <c r="E45" s="229"/>
      <c r="F45" s="18"/>
      <c r="I45" s="41"/>
      <c r="L45" s="11"/>
      <c r="M45" s="11"/>
      <c r="N45" s="11"/>
      <c r="O45" s="11"/>
      <c r="P45" s="11"/>
      <c r="Q45" s="11"/>
    </row>
    <row r="46" spans="1:17" s="9" customFormat="1" ht="16.5" customHeight="1">
      <c r="A46" s="324" t="s">
        <v>162</v>
      </c>
      <c r="B46" s="325" t="s">
        <v>164</v>
      </c>
      <c r="C46" s="228"/>
      <c r="D46" s="330"/>
      <c r="E46" s="230"/>
      <c r="F46" s="18"/>
      <c r="I46" s="41"/>
      <c r="L46" s="11"/>
      <c r="M46" s="11"/>
      <c r="N46" s="11"/>
      <c r="O46" s="11"/>
      <c r="P46" s="11"/>
      <c r="Q46" s="11"/>
    </row>
    <row r="47" spans="1:12" s="9" customFormat="1" ht="14.25" customHeight="1">
      <c r="A47" s="323"/>
      <c r="B47" s="325" t="s">
        <v>163</v>
      </c>
      <c r="C47" s="228"/>
      <c r="D47" s="330"/>
      <c r="E47" s="230"/>
      <c r="F47" s="14"/>
      <c r="I47" s="41"/>
      <c r="L47" s="15"/>
    </row>
    <row r="48" spans="3:14" s="9" customFormat="1" ht="15">
      <c r="C48" s="13"/>
      <c r="D48" s="331"/>
      <c r="E48" s="16"/>
      <c r="G48" s="185"/>
      <c r="H48" s="33"/>
      <c r="I48" s="33"/>
      <c r="J48" s="33"/>
      <c r="K48" s="37"/>
      <c r="L48" s="194"/>
      <c r="M48" s="195"/>
      <c r="N48" s="196"/>
    </row>
    <row r="49" spans="4:17" ht="16.5" customHeight="1">
      <c r="D49" s="214"/>
      <c r="F49" s="193"/>
      <c r="L49" s="197"/>
      <c r="M49" s="197"/>
      <c r="N49" s="197"/>
      <c r="O49" s="35"/>
      <c r="P49" s="35"/>
      <c r="Q49" s="35"/>
    </row>
    <row r="50" ht="12.75">
      <c r="D50" s="214"/>
    </row>
  </sheetData>
  <sheetProtection/>
  <conditionalFormatting sqref="F37">
    <cfRule type="expression" priority="1" dxfId="0" stopIfTrue="1">
      <formula>$A$37=""</formula>
    </cfRule>
  </conditionalFormatting>
  <conditionalFormatting sqref="F38">
    <cfRule type="expression" priority="2" dxfId="0" stopIfTrue="1">
      <formula>$A$38=""</formula>
    </cfRule>
  </conditionalFormatting>
  <conditionalFormatting sqref="F11:F12">
    <cfRule type="expression" priority="3" dxfId="2" stopIfTrue="1">
      <formula>$AM$2=3</formula>
    </cfRule>
  </conditionalFormatting>
  <conditionalFormatting sqref="E46:E47">
    <cfRule type="expression" priority="4" dxfId="6" stopIfTrue="1">
      <formula>$A$47=""</formula>
    </cfRule>
  </conditionalFormatting>
  <conditionalFormatting sqref="F22">
    <cfRule type="expression" priority="5" dxfId="2" stopIfTrue="1">
      <formula>$A$22=""</formula>
    </cfRule>
  </conditionalFormatting>
  <conditionalFormatting sqref="F23">
    <cfRule type="expression" priority="6" dxfId="2" stopIfTrue="1">
      <formula>$A$23=""</formula>
    </cfRule>
  </conditionalFormatting>
  <conditionalFormatting sqref="F15">
    <cfRule type="expression" priority="7" dxfId="2" stopIfTrue="1">
      <formula>$A$15=""</formula>
    </cfRule>
  </conditionalFormatting>
  <conditionalFormatting sqref="F16">
    <cfRule type="expression" priority="8" dxfId="2" stopIfTrue="1">
      <formula>$A$16=""</formula>
    </cfRule>
  </conditionalFormatting>
  <conditionalFormatting sqref="F40:F41 F43">
    <cfRule type="cellIs" priority="9" dxfId="1" operator="equal" stopIfTrue="1">
      <formula>0</formula>
    </cfRule>
  </conditionalFormatting>
  <conditionalFormatting sqref="F42">
    <cfRule type="cellIs" priority="10" dxfId="0" operator="equal" stopIfTrue="1">
      <formula>0</formula>
    </cfRule>
  </conditionalFormatting>
  <dataValidations count="3">
    <dataValidation type="list" allowBlank="1" showInputMessage="1" showErrorMessage="1" prompt="Выберите из списка." sqref="D27 F21 F14">
      <formula1>"да,нет,"</formula1>
    </dataValidation>
    <dataValidation type="list" allowBlank="1" showInputMessage="1" showErrorMessage="1" prompt="Выберите из списка." sqref="F23 F19 F12 F16">
      <formula1>"в кредит,наличные,"</formula1>
    </dataValidation>
    <dataValidation type="custom" allowBlank="1" showInputMessage="1" showErrorMessage="1" prompt="Вводится в формате &quot;ДД.ММ.ГГГГ&quot;." errorTitle="ОШИБКА!" error="Некорректно задана дата оформления кредита !!!  Повторите ввод." sqref="D30">
      <formula1>AND(DAY(D30)&lt;32,MONTH(D30)&lt;13)</formula1>
    </dataValidation>
  </dataValidations>
  <printOptions/>
  <pageMargins left="0.65" right="0.43" top="0.61" bottom="0.59" header="0.5" footer="0.5"/>
  <pageSetup horizontalDpi="600" verticalDpi="600" orientation="portrait" paperSize="9" scale="85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5"/>
  </sheetPr>
  <dimension ref="A1:AB12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5.00390625" style="1" customWidth="1"/>
    <col min="2" max="2" width="14.375" style="1" customWidth="1"/>
    <col min="3" max="3" width="12.75390625" style="1" customWidth="1"/>
    <col min="4" max="4" width="10.75390625" style="1" customWidth="1"/>
    <col min="5" max="5" width="8.00390625" style="3" customWidth="1"/>
    <col min="6" max="6" width="13.125" style="4" customWidth="1"/>
    <col min="7" max="7" width="13.00390625" style="1" customWidth="1"/>
    <col min="8" max="8" width="17.00390625" style="1" customWidth="1"/>
    <col min="9" max="10" width="11.00390625" style="1" hidden="1" customWidth="1"/>
    <col min="11" max="15" width="0" style="1" hidden="1" customWidth="1"/>
    <col min="16" max="16" width="12.00390625" style="1" hidden="1" customWidth="1"/>
    <col min="17" max="19" width="0" style="1" hidden="1" customWidth="1"/>
    <col min="20" max="20" width="13.375" style="1" hidden="1" customWidth="1"/>
    <col min="21" max="21" width="14.75390625" style="1" hidden="1" customWidth="1"/>
    <col min="22" max="22" width="11.25390625" style="1" hidden="1" customWidth="1"/>
    <col min="23" max="23" width="13.875" style="1" hidden="1" customWidth="1"/>
    <col min="24" max="24" width="15.125" style="1" hidden="1" customWidth="1"/>
    <col min="25" max="25" width="11.625" style="1" hidden="1" customWidth="1"/>
    <col min="26" max="26" width="12.75390625" style="1" hidden="1" customWidth="1"/>
    <col min="27" max="27" width="15.25390625" style="1" hidden="1" customWidth="1"/>
    <col min="28" max="28" width="16.875" style="1" hidden="1" customWidth="1"/>
    <col min="29" max="29" width="0" style="1" hidden="1" customWidth="1"/>
    <col min="30" max="16384" width="9.00390625" style="1" customWidth="1"/>
  </cols>
  <sheetData>
    <row r="1" spans="1:3" ht="6.75" customHeight="1">
      <c r="A1" s="326"/>
      <c r="C1" s="2"/>
    </row>
    <row r="2" ht="15">
      <c r="A2" s="277">
        <f>IF(D10=0,"ГРАФИК НЕКОРРЕКТНЫЙ !!!   НЕ УКАЗАНО ЧИСЛО МЕСЯЦА ЕЖЕМЕСЯЧНОГО ПЛАТЕЖА","")</f>
      </c>
    </row>
    <row r="3" ht="7.5" customHeight="1"/>
    <row r="4" spans="1:8" s="6" customFormat="1" ht="20.25">
      <c r="A4" s="335" t="s">
        <v>189</v>
      </c>
      <c r="E4" s="7"/>
      <c r="F4" s="181"/>
      <c r="G4" s="182"/>
      <c r="H4" s="5"/>
    </row>
    <row r="5" spans="5:8" s="6" customFormat="1" ht="20.25">
      <c r="E5" s="206"/>
      <c r="F5" s="933" t="s">
        <v>190</v>
      </c>
      <c r="G5" s="934"/>
      <c r="H5" s="934"/>
    </row>
    <row r="6" spans="1:26" s="9" customFormat="1" ht="15">
      <c r="A6" s="939" t="s">
        <v>1</v>
      </c>
      <c r="B6" s="940"/>
      <c r="C6" s="184">
        <f>РАСЧЕТ!F40</f>
        <v>450000</v>
      </c>
      <c r="D6" s="271" t="str">
        <f>IF(РАСЧЕТ!Z2=2,"долл.США",IF(РАСЧЕТ!Z2=3,"евро","руб."))</f>
        <v>руб.</v>
      </c>
      <c r="E6" s="8"/>
      <c r="F6" s="934"/>
      <c r="G6" s="934"/>
      <c r="H6" s="934"/>
      <c r="Z6" s="1"/>
    </row>
    <row r="7" spans="1:28" s="9" customFormat="1" ht="15">
      <c r="A7" s="943" t="s">
        <v>2</v>
      </c>
      <c r="B7" s="944"/>
      <c r="C7" s="185">
        <f>РАСЧЕТ!D29</f>
        <v>36</v>
      </c>
      <c r="D7" s="10" t="s">
        <v>0</v>
      </c>
      <c r="E7" s="208"/>
      <c r="F7" s="934"/>
      <c r="G7" s="934"/>
      <c r="H7" s="934"/>
      <c r="Z7" s="1" t="s">
        <v>120</v>
      </c>
      <c r="AB7" s="186">
        <f>SUM(AA14:AA98)</f>
        <v>29.416948874909025</v>
      </c>
    </row>
    <row r="8" spans="1:28" s="9" customFormat="1" ht="15.75" thickBot="1">
      <c r="A8" s="947" t="s">
        <v>3</v>
      </c>
      <c r="B8" s="948"/>
      <c r="C8" s="187">
        <f>РАСЧЕТ!F41</f>
        <v>0.14500000000000002</v>
      </c>
      <c r="D8" s="12"/>
      <c r="E8" s="317"/>
      <c r="F8" s="316"/>
      <c r="G8" s="316"/>
      <c r="H8" s="316"/>
      <c r="Z8" s="1" t="s">
        <v>121</v>
      </c>
      <c r="AB8" s="188">
        <f>ROUND(AA14/AB7*C6+C6*(T14+W14)*Z14,2)</f>
        <v>15485.69</v>
      </c>
    </row>
    <row r="9" spans="1:8" s="9" customFormat="1" ht="15.75" thickBot="1">
      <c r="A9" s="183" t="s">
        <v>4</v>
      </c>
      <c r="B9" s="272"/>
      <c r="C9" s="273"/>
      <c r="D9" s="274">
        <f>РАСЧЕТ!D30</f>
        <v>40931</v>
      </c>
      <c r="E9" s="16"/>
      <c r="F9" s="255"/>
      <c r="G9" s="256" t="s">
        <v>144</v>
      </c>
      <c r="H9" s="17">
        <f>AB8</f>
        <v>15485.69</v>
      </c>
    </row>
    <row r="10" spans="1:6" ht="16.5" customHeight="1">
      <c r="A10" s="275" t="s">
        <v>5</v>
      </c>
      <c r="B10" s="36"/>
      <c r="C10" s="36"/>
      <c r="D10" s="276">
        <f>РАСЧЕТ!D31</f>
        <v>23</v>
      </c>
      <c r="F10" s="193"/>
    </row>
    <row r="11" spans="1:8" s="19" customFormat="1" ht="22.5" customHeight="1">
      <c r="A11" s="935" t="s">
        <v>6</v>
      </c>
      <c r="B11" s="935" t="s">
        <v>210</v>
      </c>
      <c r="C11" s="937" t="s">
        <v>7</v>
      </c>
      <c r="D11" s="938"/>
      <c r="E11" s="935" t="s">
        <v>8</v>
      </c>
      <c r="F11" s="941" t="s">
        <v>9</v>
      </c>
      <c r="G11" s="935" t="s">
        <v>10</v>
      </c>
      <c r="H11" s="935" t="s">
        <v>129</v>
      </c>
    </row>
    <row r="12" spans="1:27" s="19" customFormat="1" ht="22.5" customHeight="1">
      <c r="A12" s="936"/>
      <c r="B12" s="936"/>
      <c r="C12" s="21" t="s">
        <v>11</v>
      </c>
      <c r="D12" s="21" t="s">
        <v>12</v>
      </c>
      <c r="E12" s="936"/>
      <c r="F12" s="942"/>
      <c r="G12" s="936"/>
      <c r="H12" s="936"/>
      <c r="T12" s="946" t="s">
        <v>122</v>
      </c>
      <c r="U12" s="946" t="s">
        <v>123</v>
      </c>
      <c r="V12" s="946" t="s">
        <v>124</v>
      </c>
      <c r="W12" s="946" t="s">
        <v>125</v>
      </c>
      <c r="X12" s="945" t="s">
        <v>123</v>
      </c>
      <c r="Y12" s="945" t="s">
        <v>124</v>
      </c>
      <c r="Z12" s="945" t="s">
        <v>126</v>
      </c>
      <c r="AA12" s="945" t="s">
        <v>127</v>
      </c>
    </row>
    <row r="13" spans="1:28" ht="12.75" customHeight="1">
      <c r="A13" s="20"/>
      <c r="B13" s="24">
        <f>C6</f>
        <v>450000</v>
      </c>
      <c r="C13" s="21"/>
      <c r="D13" s="21"/>
      <c r="E13" s="20"/>
      <c r="F13" s="336"/>
      <c r="G13" s="20"/>
      <c r="H13" s="20"/>
      <c r="T13" s="946"/>
      <c r="U13" s="946"/>
      <c r="V13" s="946"/>
      <c r="W13" s="946"/>
      <c r="X13" s="946"/>
      <c r="Y13" s="946"/>
      <c r="Z13" s="946"/>
      <c r="AA13" s="946"/>
      <c r="AB13" s="1" t="s">
        <v>128</v>
      </c>
    </row>
    <row r="14" spans="1:28" ht="12.75">
      <c r="A14" s="22">
        <v>1</v>
      </c>
      <c r="B14" s="24">
        <f>B13-F14</f>
        <v>440040.9493442623</v>
      </c>
      <c r="C14" s="25">
        <f>D9</f>
        <v>40931</v>
      </c>
      <c r="D14" s="25">
        <f>IF($C$7&lt;A14,"",DATE(YEAR(D9),MONTH(D9)+1,IF(AND(OR(D10=29,D10=30,D10=31),MONTH(D9)+1=2,OR(YEAR(D9)=2004,YEAR(D9)=2008,YEAR(D9)=2012)),29,IF(AND(OR(D10=29,D10=30,D10=31),MONTH(D9)+1=2,OR(YEAR(D9)&lt;&gt;2004,YEAR(D9)&lt;&gt;2008,YEAR(D9)&lt;&gt;2012)),28,IF(AND(D10=31,OR(MONTH(D9)+1=4,MONTH(D9)+1=6,MONTH(D9)+1=9,MONTH(D9)+1=11)),30,IF(C7&lt;&gt;A14,D10,DAY(D9)))))))</f>
        <v>40962</v>
      </c>
      <c r="E14" s="26">
        <f>D14-C14</f>
        <v>31</v>
      </c>
      <c r="F14" s="337">
        <f>$H$9-G14</f>
        <v>9959.050655737705</v>
      </c>
      <c r="G14" s="337">
        <f>AB14</f>
        <v>5526.639344262296</v>
      </c>
      <c r="H14" s="338">
        <f aca="true" t="shared" si="0" ref="H14:H45">IF(C14="","",IF(A14=IF($D$10&gt;=DAY($D$9),$C$7,$C$7),F14+G14,$AB$8))</f>
        <v>15485.69</v>
      </c>
      <c r="L14" s="1">
        <f>IF(D14="",0,1)</f>
        <v>1</v>
      </c>
      <c r="O14" s="318">
        <f>IF(AND(D14&lt;&gt;"",D15="",D16=""),1,IF(AND(D14="",D15="",D16=""),0,0))</f>
        <v>0</v>
      </c>
      <c r="P14" s="28">
        <f aca="true" t="shared" si="1" ref="P14:P45">IF(O14=0,0,D14)</f>
        <v>0</v>
      </c>
      <c r="T14" s="190">
        <f>IF(OR(MONTH(C14)=1,MONTH(C14)=3,MONTH(C14)=5,MONTH(C14)=7,MONTH(C14)=8,MONTH(C14)=10,MONTH(C14)=12),31,IF(OR(MONTH(C14)=4,MONTH(C14)=6,MONTH(C14)=9,MONTH(C14)=11),30,IF(AND(MONTH(C14)=2,OR(YEAR(C14)=2004,YEAR(C14)=2008,YEAR(C14)=2012,YEAR(C14)=2016,YEAR(C14)=2020)),29,28)))-DAY(C14)</f>
        <v>8</v>
      </c>
      <c r="U14" s="3">
        <f>IF(MOD(YEAR(C14),4)=0,366,365)</f>
        <v>366</v>
      </c>
      <c r="V14" s="191">
        <f>B13*T14*$C$8/U14</f>
        <v>1426.2295081967216</v>
      </c>
      <c r="W14" s="3">
        <f>DAY(D14)</f>
        <v>23</v>
      </c>
      <c r="X14" s="3">
        <f>IF(MOD(YEAR(D14),4)=0,366,365)</f>
        <v>366</v>
      </c>
      <c r="Y14" s="191">
        <f>B13*W14*$C$8/X14</f>
        <v>4100.409836065574</v>
      </c>
      <c r="Z14" s="1">
        <f>$C$8*100*(T14/(U14*100)+W14/(X14*100))/(T14+W14)</f>
        <v>0.0003961748633879782</v>
      </c>
      <c r="AA14" s="192">
        <f>IF(D14&gt;$P$99,"",IF(D14=$P$99,1,(AA15-SUM(AA15:$AA$99)*((T14+W14)*Z14-(T15+W15)*Z15))/(1+(T14+W14)*Z14)))</f>
        <v>0.6510331417370954</v>
      </c>
      <c r="AB14" s="191">
        <f>V14+Y14</f>
        <v>5526.639344262296</v>
      </c>
    </row>
    <row r="15" spans="1:28" ht="12.75">
      <c r="A15" s="22">
        <v>2</v>
      </c>
      <c r="B15" s="24">
        <f>IF(C15="","",B14-F15)</f>
        <v>429610.9210710181</v>
      </c>
      <c r="C15" s="25">
        <f>IF(D14="","",IF(A15&gt;$C$7,"",D14))</f>
        <v>40962</v>
      </c>
      <c r="D15" s="25">
        <f aca="true" t="shared" si="2" ref="D15:D46">IF(C15="","",IF(OR(AND($D$10&lt;DAY($D$9),A15&gt;$C$7+1),AND($D$10&gt;=DAY($D$9),$C$7&lt;A15)),"",IF(A15&lt;$C$7,I15,IF(AND($D$10&gt;=DAY($D$9),A15=$C$7),J15,J15))))</f>
        <v>40991</v>
      </c>
      <c r="E15" s="27">
        <f>IF(C15="","",D15-C15)</f>
        <v>29</v>
      </c>
      <c r="F15" s="337">
        <f aca="true" t="shared" si="3" ref="F15:F46">IF(C15="","",IF(A15=IF($D$10&gt;=DAY($D$9),$C$7,$C$7),B14,$H$9-G15))</f>
        <v>10430.0282732442</v>
      </c>
      <c r="G15" s="337">
        <f aca="true" t="shared" si="4" ref="G15:G46">IF(C15="","",AB15)</f>
        <v>5055.661726755801</v>
      </c>
      <c r="H15" s="338">
        <f t="shared" si="0"/>
        <v>15485.69</v>
      </c>
      <c r="I15" s="28">
        <f>DATE(YEAR(D14),MONTH(D14)+1,IF(AND(OR($D$10=29,$D$10=30,$D$10=31),MONTH(D14)+1=2,OR(YEAR(D14)=2004,YEAR(D14)=2008,YEAR(D14)=2012)),29,IF(AND(OR($D$10=29,$D$10=30,$D$10=31),MONTH(D14)+1=2,OR(YEAR(D14)&lt;&gt;2004,YEAR(D14)&lt;&gt;2008,YEAR(D14)&lt;&gt;2012)),28,IF(AND($D$10=31,OR(MONTH(D14)+1=4,MONTH(D14)+1=6,MONTH(D14)+1=9,MONTH(D14)+1=11)),30,$D$10))))</f>
        <v>40991</v>
      </c>
      <c r="J15" s="28">
        <f>DATE(YEAR(D14),MONTH(D14)+1,IF(AND(OR(DAY($D$9)=29,DAY($D$9)=30,DAY($D$9)=31),MONTH(D14)+1=2,OR(YEAR(D14)=2004,YEAR(D14)=2008,YEAR(D14)=2012)),29,IF(AND(OR(DAY($D$9)=29,DAY($D$9)=30,DAY($D$9)=31),MONTH(D14)+1=2,OR(YEAR(D14)&lt;&gt;2004,YEAR(D14)&lt;&gt;2008,YEAR(D14)&lt;&gt;2012)),28,IF(AND(DAY($D$9)=31,OR(MONTH(D14)+1=4,MONTH(D14)+1=6,MONTH(D14)+1=9,MONTH(D14)+1=11)),30,DAY($D$9)))))</f>
        <v>40991</v>
      </c>
      <c r="L15" s="1">
        <f aca="true" t="shared" si="5" ref="L15:L78">IF(D15="",0,1)</f>
        <v>1</v>
      </c>
      <c r="O15" s="318">
        <f aca="true" t="shared" si="6" ref="O15:O78">IF(AND(D15&lt;&gt;"",D16="",D17=""),1,IF(AND(D15="",D16="",D17=""),0,0))</f>
        <v>0</v>
      </c>
      <c r="P15" s="28">
        <f t="shared" si="1"/>
        <v>0</v>
      </c>
      <c r="T15" s="3">
        <f>IF(C15="","",IF(MONTH(C15)=MONTH(D15),D15-C15,IF(OR(MONTH(C15)=1,MONTH(C15)=3,MONTH(C15)=5,MONTH(C15)=7,MONTH(C15)=8,MONTH(C15)=10,MONTH(C15)=12),31,IF(OR(MONTH(C15)=4,MONTH(C15)=6,MONTH(C15)=9,MONTH(C15)=11),30,IF(AND(MONTH(C15)=2,OR(YEAR(C15)=2004,YEAR(C15)=2008,YEAR(C15)=2012,YEAR(C15)=2016,YEAR(C15)=2020)),29,28)))-DAY(C15)))</f>
        <v>6</v>
      </c>
      <c r="U15" s="3">
        <f>IF(C15="","",IF(MOD(YEAR(C15),4)=0,366,365))</f>
        <v>366</v>
      </c>
      <c r="V15" s="191">
        <f aca="true" t="shared" si="7" ref="V15:V46">IF(C15="","",B14*T15*$C$8/U15)</f>
        <v>1045.998977949476</v>
      </c>
      <c r="W15" s="3">
        <f>IF(C15="","",IF(MONTH(C15)=MONTH(D15),0,DAY(D15)))</f>
        <v>23</v>
      </c>
      <c r="X15" s="3">
        <f>IF(C15="","",IF(MOD(YEAR(D15),4)=0,366,365))</f>
        <v>366</v>
      </c>
      <c r="Y15" s="191">
        <f aca="true" t="shared" si="8" ref="Y15:Y46">IF(C15="","",B14*W15*$C$8/X15)</f>
        <v>4009.662748806325</v>
      </c>
      <c r="Z15" s="1">
        <f aca="true" t="shared" si="9" ref="Z15:Z46">IF(C15="","",$C$8*100*(T15/(U15*100)+W15/(X15*100))/(T15+W15))</f>
        <v>0.0003961748633879782</v>
      </c>
      <c r="AA15" s="192">
        <f>IF(D15&gt;$P$99,"",IF(D15=$P$99,1,(AA16-SUM(AA16:$AA$99)*((T15+W15)*Z15-(T16+W16)*Z16))/(1+(T15+W15)*Z15)))</f>
        <v>0.6818214191543852</v>
      </c>
      <c r="AB15" s="191">
        <f aca="true" t="shared" si="10" ref="AB15:AB46">IF(C15="","",V15+Y15)</f>
        <v>5055.661726755801</v>
      </c>
    </row>
    <row r="16" spans="1:28" ht="12.75">
      <c r="A16" s="22">
        <v>3</v>
      </c>
      <c r="B16" s="24">
        <f>IF(C16="","",B15-F16)</f>
        <v>419401.4635579422</v>
      </c>
      <c r="C16" s="25">
        <f aca="true" t="shared" si="11" ref="C16:C79">IF(D15="","",IF(A16&gt;$C$7,"",D15))</f>
        <v>40991</v>
      </c>
      <c r="D16" s="25">
        <f t="shared" si="2"/>
        <v>41022</v>
      </c>
      <c r="E16" s="27">
        <f aca="true" t="shared" si="12" ref="E16:E79">IF(C16="","",D16-C16)</f>
        <v>31</v>
      </c>
      <c r="F16" s="337">
        <f t="shared" si="3"/>
        <v>10209.457513075886</v>
      </c>
      <c r="G16" s="337">
        <f t="shared" si="4"/>
        <v>5276.232486924116</v>
      </c>
      <c r="H16" s="338">
        <f t="shared" si="0"/>
        <v>15485.69</v>
      </c>
      <c r="I16" s="28">
        <f>DATE(YEAR(D15),MONTH(D15)+1,IF(AND(OR($D$10=29,$D$10=30,$D$10=31),MONTH(D15)+1=2,OR(YEAR(D15)=2004,YEAR(D15)=2008,YEAR(D15)=2012)),29,IF(AND(OR($D$10=29,$D$10=30,$D$10=31),MONTH(D15)+1=2,OR(YEAR(D15)&lt;&gt;2004,YEAR(D15)&lt;&gt;2008,YEAR(D15)&lt;&gt;2012)),28,IF(AND($D$10=31,OR(MONTH(D15)+1=4,MONTH(D15)+1=6,MONTH(D15)+1=9,MONTH(D15)+1=11)),30,$D$10))))</f>
        <v>41022</v>
      </c>
      <c r="J16" s="28">
        <f aca="true" t="shared" si="13" ref="J16:J73">DATE(YEAR(D15),MONTH(D15)+1,IF(AND(OR(DAY($D$9)=29,DAY($D$9)=30,DAY($D$9)=31),MONTH(D15)+1=2,OR(YEAR(D15)=2004,YEAR(D15)=2008,YEAR(D15)=2012)),29,IF(AND(OR(DAY($D$9)=29,DAY($D$9)=30,DAY($D$9)=31),MONTH(D15)+1=2,OR(YEAR(D15)&lt;&gt;2004,YEAR(D15)&lt;&gt;2008,YEAR(D15)&lt;&gt;2012)),28,IF(AND(DAY($D$9)=31,OR(MONTH(D15)+1=4,MONTH(D15)+1=6,MONTH(D15)+1=9,MONTH(D15)+1=11)),30,DAY($D$9)))))</f>
        <v>41022</v>
      </c>
      <c r="L16" s="1">
        <f t="shared" si="5"/>
        <v>1</v>
      </c>
      <c r="O16" s="318">
        <f t="shared" si="6"/>
        <v>0</v>
      </c>
      <c r="P16" s="28">
        <f t="shared" si="1"/>
        <v>0</v>
      </c>
      <c r="T16" s="3">
        <f aca="true" t="shared" si="14" ref="T16:T79">IF(C16="","",IF(MONTH(C16)=MONTH(D16),D16-C16,IF(OR(MONTH(C16)=1,MONTH(C16)=3,MONTH(C16)=5,MONTH(C16)=7,MONTH(C16)=8,MONTH(C16)=10,MONTH(C16)=12),31,IF(OR(MONTH(C16)=4,MONTH(C16)=6,MONTH(C16)=9,MONTH(C16)=11),30,IF(AND(MONTH(C16)=2,OR(YEAR(C16)=2004,YEAR(C16)=2008,YEAR(C16)=2012,YEAR(C16)=2016,YEAR(C16)=2020)),29,28)))-DAY(C16)))</f>
        <v>8</v>
      </c>
      <c r="U16" s="3">
        <f aca="true" t="shared" si="15" ref="U16:U79">IF(C16="","",IF(MOD(YEAR(C16),4)=0,366,365))</f>
        <v>366</v>
      </c>
      <c r="V16" s="191">
        <f t="shared" si="7"/>
        <v>1361.6083837223525</v>
      </c>
      <c r="W16" s="3">
        <f aca="true" t="shared" si="16" ref="W16:W79">IF(C16="","",IF(MONTH(C16)=MONTH(D16),0,DAY(D16)))</f>
        <v>23</v>
      </c>
      <c r="X16" s="3">
        <f aca="true" t="shared" si="17" ref="X16:X79">IF(C16="","",IF(MOD(YEAR(D16),4)=0,366,365))</f>
        <v>366</v>
      </c>
      <c r="Y16" s="191">
        <f t="shared" si="8"/>
        <v>3914.6241032017633</v>
      </c>
      <c r="Z16" s="1">
        <f t="shared" si="9"/>
        <v>0.0003961748633879782</v>
      </c>
      <c r="AA16" s="192">
        <f>IF(D16&gt;$P$99,"",IF(D16=$P$99,1,(AA17-SUM(AA17:$AA$99)*((T16+W16)*Z16-(T17+W17)*Z17))/(1+(T16+W16)*Z16)))</f>
        <v>0.6674024894179893</v>
      </c>
      <c r="AB16" s="191">
        <f t="shared" si="10"/>
        <v>5276.232486924116</v>
      </c>
    </row>
    <row r="17" spans="1:28" ht="12.75">
      <c r="A17" s="22">
        <v>4</v>
      </c>
      <c r="B17" s="24">
        <f aca="true" t="shared" si="18" ref="B17:B80">IF(C17="","",B16-F17)</f>
        <v>408900.4630838358</v>
      </c>
      <c r="C17" s="25">
        <f t="shared" si="11"/>
        <v>41022</v>
      </c>
      <c r="D17" s="25">
        <f t="shared" si="2"/>
        <v>41052</v>
      </c>
      <c r="E17" s="27">
        <f t="shared" si="12"/>
        <v>30</v>
      </c>
      <c r="F17" s="337">
        <f t="shared" si="3"/>
        <v>10501.000474106426</v>
      </c>
      <c r="G17" s="337">
        <f t="shared" si="4"/>
        <v>4984.689525893576</v>
      </c>
      <c r="H17" s="338">
        <f t="shared" si="0"/>
        <v>15485.69</v>
      </c>
      <c r="I17" s="28">
        <f aca="true" t="shared" si="19" ref="I17:I73">DATE(YEAR(D16),MONTH(D16)+1,IF(AND(OR($D$10=29,$D$10=30,$D$10=31),MONTH(D16)+1=2,OR(YEAR(D16)=2004,YEAR(D16)=2008,YEAR(D16)=2012)),29,IF(AND(OR($D$10=29,$D$10=30,$D$10=31),MONTH(D16)+1=2,OR(YEAR(D16)&lt;&gt;2004,YEAR(D16)&lt;&gt;2008,YEAR(D16)&lt;&gt;2012)),28,IF(AND($D$10=31,OR(MONTH(D16)+1=4,MONTH(D16)+1=6,MONTH(D16)+1=9,MONTH(D16)+1=11)),30,$D$10))))</f>
        <v>41052</v>
      </c>
      <c r="J17" s="28">
        <f t="shared" si="13"/>
        <v>41052</v>
      </c>
      <c r="L17" s="1">
        <f t="shared" si="5"/>
        <v>1</v>
      </c>
      <c r="O17" s="318">
        <f t="shared" si="6"/>
        <v>0</v>
      </c>
      <c r="P17" s="28">
        <f t="shared" si="1"/>
        <v>0</v>
      </c>
      <c r="T17" s="3">
        <f t="shared" si="14"/>
        <v>7</v>
      </c>
      <c r="U17" s="3">
        <f t="shared" si="15"/>
        <v>366</v>
      </c>
      <c r="V17" s="191">
        <f t="shared" si="7"/>
        <v>1163.0942227085009</v>
      </c>
      <c r="W17" s="3">
        <f t="shared" si="16"/>
        <v>23</v>
      </c>
      <c r="X17" s="3">
        <f t="shared" si="17"/>
        <v>366</v>
      </c>
      <c r="Y17" s="191">
        <f t="shared" si="8"/>
        <v>3821.595303185075</v>
      </c>
      <c r="Z17" s="1">
        <f t="shared" si="9"/>
        <v>0.0003961748633879782</v>
      </c>
      <c r="AA17" s="192">
        <f>IF(D17&gt;$P$99,"",IF(D17=$P$99,1,(AA18-SUM(AA18:$AA$99)*((T17+W17)*Z17-(T18+W18)*Z18))/(1+(T17+W17)*Z17)))</f>
        <v>0.6864609443483194</v>
      </c>
      <c r="AB17" s="191">
        <f t="shared" si="10"/>
        <v>4984.689525893576</v>
      </c>
    </row>
    <row r="18" spans="1:28" ht="12.75">
      <c r="A18" s="22">
        <v>5</v>
      </c>
      <c r="B18" s="24">
        <f t="shared" si="18"/>
        <v>398436.65172198287</v>
      </c>
      <c r="C18" s="25">
        <f t="shared" si="11"/>
        <v>41052</v>
      </c>
      <c r="D18" s="25">
        <f t="shared" si="2"/>
        <v>41083</v>
      </c>
      <c r="E18" s="27">
        <f t="shared" si="12"/>
        <v>31</v>
      </c>
      <c r="F18" s="337">
        <f t="shared" si="3"/>
        <v>10463.811361852891</v>
      </c>
      <c r="G18" s="337">
        <f t="shared" si="4"/>
        <v>5021.87863814711</v>
      </c>
      <c r="H18" s="338">
        <f t="shared" si="0"/>
        <v>15485.69</v>
      </c>
      <c r="I18" s="28">
        <f t="shared" si="19"/>
        <v>41083</v>
      </c>
      <c r="J18" s="28">
        <f t="shared" si="13"/>
        <v>41083</v>
      </c>
      <c r="L18" s="1">
        <f t="shared" si="5"/>
        <v>1</v>
      </c>
      <c r="O18" s="318">
        <f t="shared" si="6"/>
        <v>0</v>
      </c>
      <c r="P18" s="28">
        <f t="shared" si="1"/>
        <v>0</v>
      </c>
      <c r="T18" s="3">
        <f t="shared" si="14"/>
        <v>8</v>
      </c>
      <c r="U18" s="3">
        <f t="shared" si="15"/>
        <v>366</v>
      </c>
      <c r="V18" s="191">
        <f t="shared" si="7"/>
        <v>1295.9686808121573</v>
      </c>
      <c r="W18" s="3">
        <f t="shared" si="16"/>
        <v>23</v>
      </c>
      <c r="X18" s="3">
        <f t="shared" si="17"/>
        <v>366</v>
      </c>
      <c r="Y18" s="191">
        <f t="shared" si="8"/>
        <v>3725.9099573349527</v>
      </c>
      <c r="Z18" s="1">
        <f t="shared" si="9"/>
        <v>0.0003961748633879782</v>
      </c>
      <c r="AA18" s="192">
        <f>IF(D18&gt;$P$99,"",IF(D18=$P$99,1,(AA19-SUM(AA19:$AA$99)*((T18+W18)*Z18-(T19+W19)*Z19))/(1+(T18+W18)*Z18)))</f>
        <v>0.684029855906458</v>
      </c>
      <c r="AB18" s="191">
        <f t="shared" si="10"/>
        <v>5021.87863814711</v>
      </c>
    </row>
    <row r="19" spans="1:28" ht="12.75">
      <c r="A19" s="22">
        <v>6</v>
      </c>
      <c r="B19" s="24">
        <f t="shared" si="18"/>
        <v>387686.4793039245</v>
      </c>
      <c r="C19" s="25">
        <f t="shared" si="11"/>
        <v>41083</v>
      </c>
      <c r="D19" s="25">
        <f t="shared" si="2"/>
        <v>41113</v>
      </c>
      <c r="E19" s="27">
        <f t="shared" si="12"/>
        <v>30</v>
      </c>
      <c r="F19" s="337">
        <f t="shared" si="3"/>
        <v>10750.172418058399</v>
      </c>
      <c r="G19" s="337">
        <f t="shared" si="4"/>
        <v>4735.517581941601</v>
      </c>
      <c r="H19" s="338">
        <f t="shared" si="0"/>
        <v>15485.69</v>
      </c>
      <c r="I19" s="28">
        <f t="shared" si="19"/>
        <v>41113</v>
      </c>
      <c r="J19" s="28">
        <f t="shared" si="13"/>
        <v>41113</v>
      </c>
      <c r="L19" s="1">
        <f t="shared" si="5"/>
        <v>1</v>
      </c>
      <c r="O19" s="318">
        <f t="shared" si="6"/>
        <v>0</v>
      </c>
      <c r="P19" s="28">
        <f t="shared" si="1"/>
        <v>0</v>
      </c>
      <c r="T19" s="3">
        <f t="shared" si="14"/>
        <v>7</v>
      </c>
      <c r="U19" s="3">
        <f t="shared" si="15"/>
        <v>366</v>
      </c>
      <c r="V19" s="191">
        <f t="shared" si="7"/>
        <v>1104.9541024530402</v>
      </c>
      <c r="W19" s="3">
        <f t="shared" si="16"/>
        <v>23</v>
      </c>
      <c r="X19" s="3">
        <f t="shared" si="17"/>
        <v>366</v>
      </c>
      <c r="Y19" s="191">
        <f t="shared" si="8"/>
        <v>3630.5634794885605</v>
      </c>
      <c r="Z19" s="1">
        <f t="shared" si="9"/>
        <v>0.0003961748633879782</v>
      </c>
      <c r="AA19" s="192">
        <f>IF(D19&gt;$P$99,"",IF(D19=$P$99,1,(AA20-SUM(AA20:$AA$99)*((T19+W19)*Z19-(T20+W20)*Z20))/(1+(T19+W19)*Z19)))</f>
        <v>0.7027495645152818</v>
      </c>
      <c r="AB19" s="191">
        <f t="shared" si="10"/>
        <v>4735.517581941601</v>
      </c>
    </row>
    <row r="20" spans="1:28" ht="12.75">
      <c r="A20" s="22">
        <v>7</v>
      </c>
      <c r="B20" s="24">
        <f t="shared" si="18"/>
        <v>376962.130081168</v>
      </c>
      <c r="C20" s="25">
        <f t="shared" si="11"/>
        <v>41113</v>
      </c>
      <c r="D20" s="25">
        <f t="shared" si="2"/>
        <v>41144</v>
      </c>
      <c r="E20" s="27">
        <f t="shared" si="12"/>
        <v>31</v>
      </c>
      <c r="F20" s="337">
        <f t="shared" si="3"/>
        <v>10724.349222756447</v>
      </c>
      <c r="G20" s="337">
        <f t="shared" si="4"/>
        <v>4761.340777243553</v>
      </c>
      <c r="H20" s="338">
        <f t="shared" si="0"/>
        <v>15485.69</v>
      </c>
      <c r="I20" s="28">
        <f t="shared" si="19"/>
        <v>41144</v>
      </c>
      <c r="J20" s="28">
        <f t="shared" si="13"/>
        <v>41144</v>
      </c>
      <c r="L20" s="1">
        <f t="shared" si="5"/>
        <v>1</v>
      </c>
      <c r="O20" s="318">
        <f t="shared" si="6"/>
        <v>0</v>
      </c>
      <c r="P20" s="28">
        <f t="shared" si="1"/>
        <v>0</v>
      </c>
      <c r="T20" s="3">
        <f t="shared" si="14"/>
        <v>8</v>
      </c>
      <c r="U20" s="3">
        <f t="shared" si="15"/>
        <v>366</v>
      </c>
      <c r="V20" s="191">
        <f t="shared" si="7"/>
        <v>1228.733103804788</v>
      </c>
      <c r="W20" s="3">
        <f t="shared" si="16"/>
        <v>23</v>
      </c>
      <c r="X20" s="3">
        <f t="shared" si="17"/>
        <v>366</v>
      </c>
      <c r="Y20" s="191">
        <f t="shared" si="8"/>
        <v>3532.6076734387652</v>
      </c>
      <c r="Z20" s="1">
        <f t="shared" si="9"/>
        <v>0.0003961748633879782</v>
      </c>
      <c r="AA20" s="192">
        <f>IF(D20&gt;$P$99,"",IF(D20=$P$99,1,(AA21-SUM(AA21:$AA$99)*((T20+W20)*Z20-(T21+W21)*Z21))/(1+(T20+W20)*Z20)))</f>
        <v>0.7010614774769381</v>
      </c>
      <c r="AB20" s="191">
        <f t="shared" si="10"/>
        <v>4761.340777243553</v>
      </c>
    </row>
    <row r="21" spans="1:28" ht="12.75">
      <c r="A21" s="22">
        <v>8</v>
      </c>
      <c r="B21" s="24">
        <f t="shared" si="18"/>
        <v>366106.0706131758</v>
      </c>
      <c r="C21" s="25">
        <f t="shared" si="11"/>
        <v>41144</v>
      </c>
      <c r="D21" s="25">
        <f t="shared" si="2"/>
        <v>41175</v>
      </c>
      <c r="E21" s="27">
        <f t="shared" si="12"/>
        <v>31</v>
      </c>
      <c r="F21" s="337">
        <f t="shared" si="3"/>
        <v>10856.059467992212</v>
      </c>
      <c r="G21" s="337">
        <f t="shared" si="4"/>
        <v>4629.630532007788</v>
      </c>
      <c r="H21" s="338">
        <f t="shared" si="0"/>
        <v>15485.69</v>
      </c>
      <c r="I21" s="28">
        <f t="shared" si="19"/>
        <v>41175</v>
      </c>
      <c r="J21" s="28">
        <f t="shared" si="13"/>
        <v>41175</v>
      </c>
      <c r="L21" s="1">
        <f t="shared" si="5"/>
        <v>1</v>
      </c>
      <c r="O21" s="318">
        <f t="shared" si="6"/>
        <v>0</v>
      </c>
      <c r="P21" s="28">
        <f t="shared" si="1"/>
        <v>0</v>
      </c>
      <c r="T21" s="3">
        <f t="shared" si="14"/>
        <v>8</v>
      </c>
      <c r="U21" s="3">
        <f t="shared" si="15"/>
        <v>366</v>
      </c>
      <c r="V21" s="191">
        <f t="shared" si="7"/>
        <v>1194.7433630987841</v>
      </c>
      <c r="W21" s="3">
        <f t="shared" si="16"/>
        <v>23</v>
      </c>
      <c r="X21" s="3">
        <f t="shared" si="17"/>
        <v>366</v>
      </c>
      <c r="Y21" s="191">
        <f t="shared" si="8"/>
        <v>3434.887168909004</v>
      </c>
      <c r="Z21" s="1">
        <f t="shared" si="9"/>
        <v>0.0003961748633879782</v>
      </c>
      <c r="AA21" s="192">
        <f>IF(D21&gt;$P$99,"",IF(D21=$P$99,1,(AA22-SUM(AA22:$AA$99)*((T21+W21)*Z21-(T22+W22)*Z22))/(1+(T21+W21)*Z21)))</f>
        <v>0.7096715084639841</v>
      </c>
      <c r="AB21" s="191">
        <f t="shared" si="10"/>
        <v>4629.630532007788</v>
      </c>
    </row>
    <row r="22" spans="1:28" ht="12.75">
      <c r="A22" s="22">
        <v>9</v>
      </c>
      <c r="B22" s="24">
        <f t="shared" si="18"/>
        <v>354971.6412884963</v>
      </c>
      <c r="C22" s="25">
        <f t="shared" si="11"/>
        <v>41175</v>
      </c>
      <c r="D22" s="25">
        <f t="shared" si="2"/>
        <v>41205</v>
      </c>
      <c r="E22" s="27">
        <f t="shared" si="12"/>
        <v>30</v>
      </c>
      <c r="F22" s="337">
        <f t="shared" si="3"/>
        <v>11134.429324679468</v>
      </c>
      <c r="G22" s="337">
        <f t="shared" si="4"/>
        <v>4351.260675320533</v>
      </c>
      <c r="H22" s="338">
        <f t="shared" si="0"/>
        <v>15485.69</v>
      </c>
      <c r="I22" s="28">
        <f t="shared" si="19"/>
        <v>41205</v>
      </c>
      <c r="J22" s="28">
        <f t="shared" si="13"/>
        <v>41205</v>
      </c>
      <c r="L22" s="1">
        <f t="shared" si="5"/>
        <v>1</v>
      </c>
      <c r="O22" s="318">
        <f t="shared" si="6"/>
        <v>0</v>
      </c>
      <c r="P22" s="28">
        <f t="shared" si="1"/>
        <v>0</v>
      </c>
      <c r="T22" s="3">
        <f t="shared" si="14"/>
        <v>7</v>
      </c>
      <c r="U22" s="3">
        <f t="shared" si="15"/>
        <v>366</v>
      </c>
      <c r="V22" s="191">
        <f t="shared" si="7"/>
        <v>1015.294157574791</v>
      </c>
      <c r="W22" s="3">
        <f t="shared" si="16"/>
        <v>23</v>
      </c>
      <c r="X22" s="3">
        <f t="shared" si="17"/>
        <v>366</v>
      </c>
      <c r="Y22" s="191">
        <f t="shared" si="8"/>
        <v>3335.966517745742</v>
      </c>
      <c r="Z22" s="1">
        <f t="shared" si="9"/>
        <v>0.0003961748633879782</v>
      </c>
      <c r="AA22" s="192">
        <f>IF(D22&gt;$P$99,"",IF(D22=$P$99,1,(AA23-SUM(AA23:$AA$99)*((T22+W22)*Z22-(T23+W23)*Z23))/(1+(T22+W22)*Z22)))</f>
        <v>0.7278688243362776</v>
      </c>
      <c r="AB22" s="191">
        <f t="shared" si="10"/>
        <v>4351.260675320533</v>
      </c>
    </row>
    <row r="23" spans="1:28" ht="12.75">
      <c r="A23" s="22">
        <v>10</v>
      </c>
      <c r="B23" s="24">
        <f t="shared" si="18"/>
        <v>343845.5073748127</v>
      </c>
      <c r="C23" s="25">
        <f t="shared" si="11"/>
        <v>41205</v>
      </c>
      <c r="D23" s="25">
        <f t="shared" si="2"/>
        <v>41236</v>
      </c>
      <c r="E23" s="27">
        <f t="shared" si="12"/>
        <v>31</v>
      </c>
      <c r="F23" s="337">
        <f t="shared" si="3"/>
        <v>11126.13391368363</v>
      </c>
      <c r="G23" s="337">
        <f t="shared" si="4"/>
        <v>4359.55608631637</v>
      </c>
      <c r="H23" s="338">
        <f t="shared" si="0"/>
        <v>15485.69</v>
      </c>
      <c r="I23" s="28">
        <f t="shared" si="19"/>
        <v>41236</v>
      </c>
      <c r="J23" s="28">
        <f t="shared" si="13"/>
        <v>41236</v>
      </c>
      <c r="L23" s="1">
        <f t="shared" si="5"/>
        <v>1</v>
      </c>
      <c r="O23" s="318">
        <f t="shared" si="6"/>
        <v>0</v>
      </c>
      <c r="P23" s="28">
        <f t="shared" si="1"/>
        <v>0</v>
      </c>
      <c r="T23" s="3">
        <f t="shared" si="14"/>
        <v>8</v>
      </c>
      <c r="U23" s="3">
        <f t="shared" si="15"/>
        <v>366</v>
      </c>
      <c r="V23" s="191">
        <f t="shared" si="7"/>
        <v>1125.0467319526115</v>
      </c>
      <c r="W23" s="3">
        <f t="shared" si="16"/>
        <v>23</v>
      </c>
      <c r="X23" s="3">
        <f t="shared" si="17"/>
        <v>366</v>
      </c>
      <c r="Y23" s="191">
        <f t="shared" si="8"/>
        <v>3234.509354363758</v>
      </c>
      <c r="Z23" s="1">
        <f t="shared" si="9"/>
        <v>0.0003961748633879782</v>
      </c>
      <c r="AA23" s="192">
        <f>IF(D23&gt;$P$99,"",IF(D23=$P$99,1,(AA24-SUM(AA24:$AA$99)*((T23+W23)*Z23-(T24+W24)*Z24))/(1+(T23+W23)*Z23)))</f>
        <v>0.7273265461578015</v>
      </c>
      <c r="AB23" s="191">
        <f t="shared" si="10"/>
        <v>4359.55608631637</v>
      </c>
    </row>
    <row r="24" spans="1:28" ht="12.75">
      <c r="A24" s="22">
        <v>11</v>
      </c>
      <c r="B24" s="24">
        <f t="shared" si="18"/>
        <v>332446.5057821363</v>
      </c>
      <c r="C24" s="25">
        <f t="shared" si="11"/>
        <v>41236</v>
      </c>
      <c r="D24" s="25">
        <f t="shared" si="2"/>
        <v>41266</v>
      </c>
      <c r="E24" s="27">
        <f t="shared" si="12"/>
        <v>30</v>
      </c>
      <c r="F24" s="337">
        <f t="shared" si="3"/>
        <v>11399.001592676406</v>
      </c>
      <c r="G24" s="337">
        <f t="shared" si="4"/>
        <v>4086.6884073235938</v>
      </c>
      <c r="H24" s="338">
        <f t="shared" si="0"/>
        <v>15485.69</v>
      </c>
      <c r="I24" s="28">
        <f t="shared" si="19"/>
        <v>41266</v>
      </c>
      <c r="J24" s="28">
        <f t="shared" si="13"/>
        <v>41266</v>
      </c>
      <c r="L24" s="1">
        <f t="shared" si="5"/>
        <v>1</v>
      </c>
      <c r="O24" s="318">
        <f t="shared" si="6"/>
        <v>0</v>
      </c>
      <c r="P24" s="28">
        <f t="shared" si="1"/>
        <v>0</v>
      </c>
      <c r="T24" s="3">
        <f t="shared" si="14"/>
        <v>7</v>
      </c>
      <c r="U24" s="3">
        <f t="shared" si="15"/>
        <v>366</v>
      </c>
      <c r="V24" s="191">
        <f t="shared" si="7"/>
        <v>953.5606283755051</v>
      </c>
      <c r="W24" s="3">
        <f t="shared" si="16"/>
        <v>23</v>
      </c>
      <c r="X24" s="3">
        <f t="shared" si="17"/>
        <v>366</v>
      </c>
      <c r="Y24" s="191">
        <f t="shared" si="8"/>
        <v>3133.1277789480887</v>
      </c>
      <c r="Z24" s="1">
        <f t="shared" si="9"/>
        <v>0.0003961748633879782</v>
      </c>
      <c r="AA24" s="192">
        <f>IF(D24&gt;$P$99,"",IF(D24=$P$99,1,(AA25-SUM(AA25:$AA$99)*((T24+W24)*Z24-(T25+W25)*Z25))/(1+(T24+W24)*Z24)))</f>
        <v>0.7451641791495269</v>
      </c>
      <c r="AB24" s="191">
        <f t="shared" si="10"/>
        <v>4086.6884073235938</v>
      </c>
    </row>
    <row r="25" spans="1:28" ht="12.75">
      <c r="A25" s="22">
        <v>12</v>
      </c>
      <c r="B25" s="24">
        <f t="shared" si="18"/>
        <v>321052.0305435023</v>
      </c>
      <c r="C25" s="25">
        <f t="shared" si="11"/>
        <v>41266</v>
      </c>
      <c r="D25" s="25">
        <f t="shared" si="2"/>
        <v>41297</v>
      </c>
      <c r="E25" s="27">
        <f t="shared" si="12"/>
        <v>31</v>
      </c>
      <c r="F25" s="337">
        <f t="shared" si="3"/>
        <v>11394.475238633955</v>
      </c>
      <c r="G25" s="337">
        <f t="shared" si="4"/>
        <v>4091.214761366045</v>
      </c>
      <c r="H25" s="338">
        <f t="shared" si="0"/>
        <v>15485.69</v>
      </c>
      <c r="I25" s="28">
        <f t="shared" si="19"/>
        <v>41297</v>
      </c>
      <c r="J25" s="28">
        <f t="shared" si="13"/>
        <v>41297</v>
      </c>
      <c r="L25" s="1">
        <f t="shared" si="5"/>
        <v>1</v>
      </c>
      <c r="O25" s="318">
        <f t="shared" si="6"/>
        <v>0</v>
      </c>
      <c r="P25" s="28">
        <f t="shared" si="1"/>
        <v>0</v>
      </c>
      <c r="T25" s="3">
        <f t="shared" si="14"/>
        <v>8</v>
      </c>
      <c r="U25" s="3">
        <f t="shared" si="15"/>
        <v>366</v>
      </c>
      <c r="V25" s="191">
        <f t="shared" si="7"/>
        <v>1053.6555920963883</v>
      </c>
      <c r="W25" s="3">
        <f t="shared" si="16"/>
        <v>23</v>
      </c>
      <c r="X25" s="3">
        <f t="shared" si="17"/>
        <v>365</v>
      </c>
      <c r="Y25" s="191">
        <f t="shared" si="8"/>
        <v>3037.5591692696566</v>
      </c>
      <c r="Z25" s="1">
        <f t="shared" si="9"/>
        <v>0.0003969801680152803</v>
      </c>
      <c r="AA25" s="192">
        <f>IF(D25&gt;$P$99,"",IF(D25=$P$99,1,(AA26-SUM(AA26:$AA$99)*((T25+W25)*Z25-(T26+W26)*Z26))/(1+(T25+W25)*Z25)))</f>
        <v>0.7448682880825807</v>
      </c>
      <c r="AB25" s="191">
        <f t="shared" si="10"/>
        <v>4091.214761366045</v>
      </c>
    </row>
    <row r="26" spans="1:28" ht="12.75">
      <c r="A26" s="22">
        <v>13</v>
      </c>
      <c r="B26" s="24">
        <f t="shared" si="18"/>
        <v>309520.11828951066</v>
      </c>
      <c r="C26" s="25">
        <f t="shared" si="11"/>
        <v>41297</v>
      </c>
      <c r="D26" s="25">
        <f t="shared" si="2"/>
        <v>41328</v>
      </c>
      <c r="E26" s="27">
        <f t="shared" si="12"/>
        <v>31</v>
      </c>
      <c r="F26" s="337">
        <f t="shared" si="3"/>
        <v>11531.912253991664</v>
      </c>
      <c r="G26" s="337">
        <f t="shared" si="4"/>
        <v>3953.777746008337</v>
      </c>
      <c r="H26" s="338">
        <f t="shared" si="0"/>
        <v>15485.69</v>
      </c>
      <c r="I26" s="28">
        <f t="shared" si="19"/>
        <v>41328</v>
      </c>
      <c r="J26" s="28">
        <f t="shared" si="13"/>
        <v>41328</v>
      </c>
      <c r="L26" s="1">
        <f t="shared" si="5"/>
        <v>1</v>
      </c>
      <c r="O26" s="318">
        <f t="shared" si="6"/>
        <v>0</v>
      </c>
      <c r="P26" s="28">
        <f t="shared" si="1"/>
        <v>0</v>
      </c>
      <c r="T26" s="3">
        <f t="shared" si="14"/>
        <v>8</v>
      </c>
      <c r="U26" s="3">
        <f t="shared" si="15"/>
        <v>365</v>
      </c>
      <c r="V26" s="191">
        <f t="shared" si="7"/>
        <v>1020.3297409053774</v>
      </c>
      <c r="W26" s="3">
        <f t="shared" si="16"/>
        <v>23</v>
      </c>
      <c r="X26" s="3">
        <f t="shared" si="17"/>
        <v>365</v>
      </c>
      <c r="Y26" s="191">
        <f t="shared" si="8"/>
        <v>2933.4480051029595</v>
      </c>
      <c r="Z26" s="1">
        <f t="shared" si="9"/>
        <v>0.0003972602739726028</v>
      </c>
      <c r="AA26" s="192">
        <f>IF(D26&gt;$P$99,"",IF(D26=$P$99,1,(AA27-SUM(AA27:$AA$99)*((T26+W26)*Z26-(T27+W27)*Z27))/(1+(T26+W26)*Z26)))</f>
        <v>0.7538526838094517</v>
      </c>
      <c r="AB26" s="191">
        <f t="shared" si="10"/>
        <v>3953.777746008337</v>
      </c>
    </row>
    <row r="27" spans="1:28" ht="12.75">
      <c r="A27" s="22">
        <v>14</v>
      </c>
      <c r="B27" s="24">
        <f t="shared" si="18"/>
        <v>297477.3096052789</v>
      </c>
      <c r="C27" s="25">
        <f t="shared" si="11"/>
        <v>41328</v>
      </c>
      <c r="D27" s="25">
        <f t="shared" si="2"/>
        <v>41356</v>
      </c>
      <c r="E27" s="27">
        <f t="shared" si="12"/>
        <v>28</v>
      </c>
      <c r="F27" s="337">
        <f t="shared" si="3"/>
        <v>12042.808684231744</v>
      </c>
      <c r="G27" s="337">
        <f t="shared" si="4"/>
        <v>3442.881315768256</v>
      </c>
      <c r="H27" s="338">
        <f t="shared" si="0"/>
        <v>15485.69</v>
      </c>
      <c r="I27" s="28">
        <f t="shared" si="19"/>
        <v>41356</v>
      </c>
      <c r="J27" s="28">
        <f t="shared" si="13"/>
        <v>41356</v>
      </c>
      <c r="L27" s="1">
        <f t="shared" si="5"/>
        <v>1</v>
      </c>
      <c r="O27" s="318">
        <f t="shared" si="6"/>
        <v>0</v>
      </c>
      <c r="P27" s="28">
        <f t="shared" si="1"/>
        <v>0</v>
      </c>
      <c r="T27" s="3">
        <f t="shared" si="14"/>
        <v>5</v>
      </c>
      <c r="U27" s="3">
        <f t="shared" si="15"/>
        <v>365</v>
      </c>
      <c r="V27" s="191">
        <f t="shared" si="7"/>
        <v>614.8002349586172</v>
      </c>
      <c r="W27" s="3">
        <f t="shared" si="16"/>
        <v>23</v>
      </c>
      <c r="X27" s="3">
        <f t="shared" si="17"/>
        <v>365</v>
      </c>
      <c r="Y27" s="191">
        <f t="shared" si="8"/>
        <v>2828.081080809639</v>
      </c>
      <c r="Z27" s="1">
        <f t="shared" si="9"/>
        <v>0.0003972602739726028</v>
      </c>
      <c r="AA27" s="192">
        <f>IF(D27&gt;$P$99,"",IF(D27=$P$99,1,(AA28-SUM(AA28:$AA$99)*((T27+W27)*Z27-(T28+W28)*Z28))/(1+(T27+W27)*Z27)))</f>
        <v>0.7872504929135532</v>
      </c>
      <c r="AB27" s="191">
        <f t="shared" si="10"/>
        <v>3442.881315768256</v>
      </c>
    </row>
    <row r="28" spans="1:28" ht="12.75">
      <c r="A28" s="22">
        <v>15</v>
      </c>
      <c r="B28" s="24">
        <f t="shared" si="18"/>
        <v>285655.07304822607</v>
      </c>
      <c r="C28" s="25">
        <f t="shared" si="11"/>
        <v>41356</v>
      </c>
      <c r="D28" s="25">
        <f t="shared" si="2"/>
        <v>41387</v>
      </c>
      <c r="E28" s="27">
        <f t="shared" si="12"/>
        <v>31</v>
      </c>
      <c r="F28" s="337">
        <f t="shared" si="3"/>
        <v>11822.236557052798</v>
      </c>
      <c r="G28" s="337">
        <f t="shared" si="4"/>
        <v>3663.453442947202</v>
      </c>
      <c r="H28" s="338">
        <f t="shared" si="0"/>
        <v>15485.69</v>
      </c>
      <c r="I28" s="28">
        <f t="shared" si="19"/>
        <v>41387</v>
      </c>
      <c r="J28" s="28">
        <f t="shared" si="13"/>
        <v>41387</v>
      </c>
      <c r="L28" s="1">
        <f t="shared" si="5"/>
        <v>1</v>
      </c>
      <c r="O28" s="318">
        <f t="shared" si="6"/>
        <v>0</v>
      </c>
      <c r="P28" s="28">
        <f t="shared" si="1"/>
        <v>0</v>
      </c>
      <c r="T28" s="3">
        <f t="shared" si="14"/>
        <v>8</v>
      </c>
      <c r="U28" s="3">
        <f t="shared" si="15"/>
        <v>365</v>
      </c>
      <c r="V28" s="191">
        <f t="shared" si="7"/>
        <v>945.407340115407</v>
      </c>
      <c r="W28" s="3">
        <f t="shared" si="16"/>
        <v>23</v>
      </c>
      <c r="X28" s="3">
        <f t="shared" si="17"/>
        <v>365</v>
      </c>
      <c r="Y28" s="191">
        <f t="shared" si="8"/>
        <v>2718.046102831795</v>
      </c>
      <c r="Z28" s="1">
        <f t="shared" si="9"/>
        <v>0.0003972602739726028</v>
      </c>
      <c r="AA28" s="192">
        <f>IF(D28&gt;$P$99,"",IF(D28=$P$99,1,(AA29-SUM(AA29:$AA$99)*((T28+W28)*Z28-(T29+W29)*Z29))/(1+(T28+W28)*Z28)))</f>
        <v>0.7728314749858077</v>
      </c>
      <c r="AB28" s="191">
        <f t="shared" si="10"/>
        <v>3663.453442947202</v>
      </c>
    </row>
    <row r="29" spans="1:28" ht="12.75">
      <c r="A29" s="22">
        <v>16</v>
      </c>
      <c r="B29" s="24">
        <f t="shared" si="18"/>
        <v>273573.7654256501</v>
      </c>
      <c r="C29" s="25">
        <f t="shared" si="11"/>
        <v>41387</v>
      </c>
      <c r="D29" s="25">
        <f t="shared" si="2"/>
        <v>41417</v>
      </c>
      <c r="E29" s="27">
        <f t="shared" si="12"/>
        <v>30</v>
      </c>
      <c r="F29" s="337">
        <f t="shared" si="3"/>
        <v>12081.307622575936</v>
      </c>
      <c r="G29" s="337">
        <f t="shared" si="4"/>
        <v>3404.3823774240645</v>
      </c>
      <c r="H29" s="338">
        <f t="shared" si="0"/>
        <v>15485.69</v>
      </c>
      <c r="I29" s="28">
        <f t="shared" si="19"/>
        <v>41417</v>
      </c>
      <c r="J29" s="28">
        <f t="shared" si="13"/>
        <v>41417</v>
      </c>
      <c r="L29" s="1">
        <f t="shared" si="5"/>
        <v>1</v>
      </c>
      <c r="O29" s="318">
        <f t="shared" si="6"/>
        <v>0</v>
      </c>
      <c r="P29" s="28">
        <f t="shared" si="1"/>
        <v>0</v>
      </c>
      <c r="T29" s="3">
        <f t="shared" si="14"/>
        <v>7</v>
      </c>
      <c r="U29" s="3">
        <f t="shared" si="15"/>
        <v>365</v>
      </c>
      <c r="V29" s="191">
        <f t="shared" si="7"/>
        <v>794.3558880656151</v>
      </c>
      <c r="W29" s="3">
        <f t="shared" si="16"/>
        <v>23</v>
      </c>
      <c r="X29" s="3">
        <f t="shared" si="17"/>
        <v>365</v>
      </c>
      <c r="Y29" s="191">
        <f t="shared" si="8"/>
        <v>2610.0264893584495</v>
      </c>
      <c r="Z29" s="1">
        <f t="shared" si="9"/>
        <v>0.00039726027397260277</v>
      </c>
      <c r="AA29" s="192">
        <f>IF(D29&gt;$P$99,"",IF(D29=$P$99,1,(AA30-SUM(AA30:$AA$99)*((T29+W29)*Z29-(T30+W30)*Z30))/(1+(T29+W29)*Z29)))</f>
        <v>0.7897672095003475</v>
      </c>
      <c r="AB29" s="191">
        <f t="shared" si="10"/>
        <v>3404.3823774240645</v>
      </c>
    </row>
    <row r="30" spans="1:28" ht="12.75">
      <c r="A30" s="22">
        <v>17</v>
      </c>
      <c r="B30" s="24">
        <f t="shared" si="18"/>
        <v>261457.15508479613</v>
      </c>
      <c r="C30" s="25">
        <f t="shared" si="11"/>
        <v>41417</v>
      </c>
      <c r="D30" s="25">
        <f t="shared" si="2"/>
        <v>41448</v>
      </c>
      <c r="E30" s="27">
        <f t="shared" si="12"/>
        <v>31</v>
      </c>
      <c r="F30" s="337">
        <f t="shared" si="3"/>
        <v>12116.61034085398</v>
      </c>
      <c r="G30" s="337">
        <f t="shared" si="4"/>
        <v>3369.0796591460203</v>
      </c>
      <c r="H30" s="338">
        <f t="shared" si="0"/>
        <v>15485.69</v>
      </c>
      <c r="I30" s="28">
        <f t="shared" si="19"/>
        <v>41448</v>
      </c>
      <c r="J30" s="28">
        <f t="shared" si="13"/>
        <v>41448</v>
      </c>
      <c r="L30" s="1">
        <f t="shared" si="5"/>
        <v>1</v>
      </c>
      <c r="O30" s="318">
        <f t="shared" si="6"/>
        <v>0</v>
      </c>
      <c r="P30" s="28">
        <f t="shared" si="1"/>
        <v>0</v>
      </c>
      <c r="T30" s="3">
        <f t="shared" si="14"/>
        <v>8</v>
      </c>
      <c r="U30" s="3">
        <f t="shared" si="15"/>
        <v>365</v>
      </c>
      <c r="V30" s="191">
        <f t="shared" si="7"/>
        <v>869.4399120376827</v>
      </c>
      <c r="W30" s="3">
        <f t="shared" si="16"/>
        <v>23</v>
      </c>
      <c r="X30" s="3">
        <f t="shared" si="17"/>
        <v>365</v>
      </c>
      <c r="Y30" s="191">
        <f t="shared" si="8"/>
        <v>2499.639747108338</v>
      </c>
      <c r="Z30" s="1">
        <f t="shared" si="9"/>
        <v>0.0003972602739726028</v>
      </c>
      <c r="AA30" s="192">
        <f>IF(D30&gt;$P$99,"",IF(D30=$P$99,1,(AA31-SUM(AA31:$AA$99)*((T30+W30)*Z30-(T31+W31)*Z31))/(1+(T30+W30)*Z30)))</f>
        <v>0.7920749848125619</v>
      </c>
      <c r="AB30" s="191">
        <f t="shared" si="10"/>
        <v>3369.0796591460203</v>
      </c>
    </row>
    <row r="31" spans="1:28" ht="12.75">
      <c r="A31" s="22">
        <v>18</v>
      </c>
      <c r="B31" s="24">
        <f t="shared" si="18"/>
        <v>249087.46131662864</v>
      </c>
      <c r="C31" s="25">
        <f t="shared" si="11"/>
        <v>41448</v>
      </c>
      <c r="D31" s="25">
        <f t="shared" si="2"/>
        <v>41478</v>
      </c>
      <c r="E31" s="27">
        <f t="shared" si="12"/>
        <v>30</v>
      </c>
      <c r="F31" s="337">
        <f t="shared" si="3"/>
        <v>12369.693768167499</v>
      </c>
      <c r="G31" s="337">
        <f t="shared" si="4"/>
        <v>3115.996231832502</v>
      </c>
      <c r="H31" s="338">
        <f t="shared" si="0"/>
        <v>15485.69</v>
      </c>
      <c r="I31" s="28">
        <f t="shared" si="19"/>
        <v>41478</v>
      </c>
      <c r="J31" s="28">
        <f t="shared" si="13"/>
        <v>41478</v>
      </c>
      <c r="L31" s="1">
        <f t="shared" si="5"/>
        <v>1</v>
      </c>
      <c r="O31" s="318">
        <f t="shared" si="6"/>
        <v>0</v>
      </c>
      <c r="P31" s="28">
        <f t="shared" si="1"/>
        <v>0</v>
      </c>
      <c r="T31" s="3">
        <f t="shared" si="14"/>
        <v>7</v>
      </c>
      <c r="U31" s="3">
        <f t="shared" si="15"/>
        <v>365</v>
      </c>
      <c r="V31" s="191">
        <f t="shared" si="7"/>
        <v>727.0657874275838</v>
      </c>
      <c r="W31" s="3">
        <f t="shared" si="16"/>
        <v>23</v>
      </c>
      <c r="X31" s="3">
        <f t="shared" si="17"/>
        <v>365</v>
      </c>
      <c r="Y31" s="191">
        <f t="shared" si="8"/>
        <v>2388.930444404918</v>
      </c>
      <c r="Z31" s="1">
        <f t="shared" si="9"/>
        <v>0.00039726027397260277</v>
      </c>
      <c r="AA31" s="192">
        <f>IF(D31&gt;$P$99,"",IF(D31=$P$99,1,(AA32-SUM(AA32:$AA$99)*((T31+W31)*Z31-(T32+W32)*Z32))/(1+(T31+W31)*Z31)))</f>
        <v>0.8086193014051726</v>
      </c>
      <c r="AB31" s="191">
        <f t="shared" si="10"/>
        <v>3115.996231832502</v>
      </c>
    </row>
    <row r="32" spans="1:28" ht="12.75">
      <c r="A32" s="22">
        <v>19</v>
      </c>
      <c r="B32" s="24">
        <f t="shared" si="18"/>
        <v>236669.30046352794</v>
      </c>
      <c r="C32" s="25">
        <f t="shared" si="11"/>
        <v>41478</v>
      </c>
      <c r="D32" s="25">
        <f t="shared" si="2"/>
        <v>41509</v>
      </c>
      <c r="E32" s="27">
        <f t="shared" si="12"/>
        <v>31</v>
      </c>
      <c r="F32" s="337">
        <f t="shared" si="3"/>
        <v>12418.160853100697</v>
      </c>
      <c r="G32" s="337">
        <f t="shared" si="4"/>
        <v>3067.5291468993037</v>
      </c>
      <c r="H32" s="338">
        <f t="shared" si="0"/>
        <v>15485.69</v>
      </c>
      <c r="I32" s="28">
        <f t="shared" si="19"/>
        <v>41509</v>
      </c>
      <c r="J32" s="28">
        <f t="shared" si="13"/>
        <v>41509</v>
      </c>
      <c r="L32" s="1">
        <f t="shared" si="5"/>
        <v>1</v>
      </c>
      <c r="O32" s="318">
        <f t="shared" si="6"/>
        <v>0</v>
      </c>
      <c r="P32" s="28">
        <f t="shared" si="1"/>
        <v>0</v>
      </c>
      <c r="T32" s="3">
        <f t="shared" si="14"/>
        <v>8</v>
      </c>
      <c r="U32" s="3">
        <f t="shared" si="15"/>
        <v>365</v>
      </c>
      <c r="V32" s="191">
        <f t="shared" si="7"/>
        <v>791.6204250062721</v>
      </c>
      <c r="W32" s="3">
        <f t="shared" si="16"/>
        <v>23</v>
      </c>
      <c r="X32" s="3">
        <f t="shared" si="17"/>
        <v>365</v>
      </c>
      <c r="Y32" s="191">
        <f t="shared" si="8"/>
        <v>2275.9087218930317</v>
      </c>
      <c r="Z32" s="1">
        <f t="shared" si="9"/>
        <v>0.0003972602739726028</v>
      </c>
      <c r="AA32" s="192">
        <f>IF(D32&gt;$P$99,"",IF(D32=$P$99,1,(AA33-SUM(AA33:$AA$99)*((T32+W32)*Z32-(T33+W33)*Z33))/(1+(T32+W32)*Z32)))</f>
        <v>0.8117876445839283</v>
      </c>
      <c r="AB32" s="191">
        <f t="shared" si="10"/>
        <v>3067.5291468993037</v>
      </c>
    </row>
    <row r="33" spans="1:28" ht="12.75">
      <c r="A33" s="22">
        <v>20</v>
      </c>
      <c r="B33" s="24">
        <f t="shared" si="18"/>
        <v>224098.20910896233</v>
      </c>
      <c r="C33" s="25">
        <f t="shared" si="11"/>
        <v>41509</v>
      </c>
      <c r="D33" s="25">
        <f t="shared" si="2"/>
        <v>41540</v>
      </c>
      <c r="E33" s="27">
        <f t="shared" si="12"/>
        <v>31</v>
      </c>
      <c r="F33" s="337">
        <f t="shared" si="3"/>
        <v>12571.091354565595</v>
      </c>
      <c r="G33" s="337">
        <f t="shared" si="4"/>
        <v>2914.598645434406</v>
      </c>
      <c r="H33" s="338">
        <f t="shared" si="0"/>
        <v>15485.69</v>
      </c>
      <c r="I33" s="28">
        <f t="shared" si="19"/>
        <v>41540</v>
      </c>
      <c r="J33" s="28">
        <f t="shared" si="13"/>
        <v>41540</v>
      </c>
      <c r="L33" s="1">
        <f t="shared" si="5"/>
        <v>1</v>
      </c>
      <c r="O33" s="318">
        <f t="shared" si="6"/>
        <v>0</v>
      </c>
      <c r="P33" s="28">
        <f t="shared" si="1"/>
        <v>0</v>
      </c>
      <c r="T33" s="3">
        <f t="shared" si="14"/>
        <v>8</v>
      </c>
      <c r="U33" s="3">
        <f t="shared" si="15"/>
        <v>365</v>
      </c>
      <c r="V33" s="191">
        <f t="shared" si="7"/>
        <v>752.1544891443629</v>
      </c>
      <c r="W33" s="3">
        <f t="shared" si="16"/>
        <v>23</v>
      </c>
      <c r="X33" s="3">
        <f t="shared" si="17"/>
        <v>365</v>
      </c>
      <c r="Y33" s="191">
        <f t="shared" si="8"/>
        <v>2162.4441562900433</v>
      </c>
      <c r="Z33" s="1">
        <f t="shared" si="9"/>
        <v>0.0003972602739726028</v>
      </c>
      <c r="AA33" s="192">
        <f>IF(D33&gt;$P$99,"",IF(D33=$P$99,1,(AA34-SUM(AA34:$AA$99)*((T33+W33)*Z33-(T34+W34)*Z34))/(1+(T33+W33)*Z33)))</f>
        <v>0.8217848650288729</v>
      </c>
      <c r="AB33" s="191">
        <f t="shared" si="10"/>
        <v>2914.598645434406</v>
      </c>
    </row>
    <row r="34" spans="1:28" ht="12.75">
      <c r="A34" s="22">
        <v>21</v>
      </c>
      <c r="B34" s="24">
        <f t="shared" si="18"/>
        <v>211283.2785873842</v>
      </c>
      <c r="C34" s="25">
        <f t="shared" si="11"/>
        <v>41540</v>
      </c>
      <c r="D34" s="25">
        <f t="shared" si="2"/>
        <v>41570</v>
      </c>
      <c r="E34" s="27">
        <f t="shared" si="12"/>
        <v>30</v>
      </c>
      <c r="F34" s="337">
        <f t="shared" si="3"/>
        <v>12814.93052157812</v>
      </c>
      <c r="G34" s="337">
        <f t="shared" si="4"/>
        <v>2670.75947842188</v>
      </c>
      <c r="H34" s="338">
        <f t="shared" si="0"/>
        <v>15485.69</v>
      </c>
      <c r="I34" s="28">
        <f t="shared" si="19"/>
        <v>41570</v>
      </c>
      <c r="J34" s="28">
        <f t="shared" si="13"/>
        <v>41570</v>
      </c>
      <c r="L34" s="1">
        <f t="shared" si="5"/>
        <v>1</v>
      </c>
      <c r="O34" s="318">
        <f t="shared" si="6"/>
        <v>0</v>
      </c>
      <c r="P34" s="28">
        <f t="shared" si="1"/>
        <v>0</v>
      </c>
      <c r="T34" s="3">
        <f t="shared" si="14"/>
        <v>7</v>
      </c>
      <c r="U34" s="3">
        <f t="shared" si="15"/>
        <v>365</v>
      </c>
      <c r="V34" s="191">
        <f t="shared" si="7"/>
        <v>623.177211631772</v>
      </c>
      <c r="W34" s="3">
        <f t="shared" si="16"/>
        <v>23</v>
      </c>
      <c r="X34" s="3">
        <f t="shared" si="17"/>
        <v>365</v>
      </c>
      <c r="Y34" s="191">
        <f t="shared" si="8"/>
        <v>2047.582266790108</v>
      </c>
      <c r="Z34" s="1">
        <f t="shared" si="9"/>
        <v>0.00039726027397260277</v>
      </c>
      <c r="AA34" s="192">
        <f>IF(D34&gt;$P$99,"",IF(D34=$P$99,1,(AA35-SUM(AA35:$AA$99)*((T34+W34)*Z34-(T35+W35)*Z35))/(1+(T34+W34)*Z34)))</f>
        <v>0.8377248750433322</v>
      </c>
      <c r="AB34" s="191">
        <f t="shared" si="10"/>
        <v>2670.75947842188</v>
      </c>
    </row>
    <row r="35" spans="1:28" ht="12.75">
      <c r="A35" s="22">
        <v>22</v>
      </c>
      <c r="B35" s="24">
        <f t="shared" si="18"/>
        <v>198399.55663464527</v>
      </c>
      <c r="C35" s="25">
        <f t="shared" si="11"/>
        <v>41570</v>
      </c>
      <c r="D35" s="25">
        <f t="shared" si="2"/>
        <v>41601</v>
      </c>
      <c r="E35" s="27">
        <f t="shared" si="12"/>
        <v>31</v>
      </c>
      <c r="F35" s="337">
        <f t="shared" si="3"/>
        <v>12883.721952738926</v>
      </c>
      <c r="G35" s="337">
        <f t="shared" si="4"/>
        <v>2601.968047261074</v>
      </c>
      <c r="H35" s="338">
        <f t="shared" si="0"/>
        <v>15485.69</v>
      </c>
      <c r="I35" s="28">
        <f t="shared" si="19"/>
        <v>41601</v>
      </c>
      <c r="J35" s="28">
        <f t="shared" si="13"/>
        <v>41601</v>
      </c>
      <c r="L35" s="1">
        <f t="shared" si="5"/>
        <v>1</v>
      </c>
      <c r="O35" s="318">
        <f t="shared" si="6"/>
        <v>0</v>
      </c>
      <c r="P35" s="28">
        <f t="shared" si="1"/>
        <v>0</v>
      </c>
      <c r="T35" s="3">
        <f t="shared" si="14"/>
        <v>8</v>
      </c>
      <c r="U35" s="3">
        <f t="shared" si="15"/>
        <v>365</v>
      </c>
      <c r="V35" s="191">
        <f t="shared" si="7"/>
        <v>671.4756250996321</v>
      </c>
      <c r="W35" s="3">
        <f t="shared" si="16"/>
        <v>23</v>
      </c>
      <c r="X35" s="3">
        <f t="shared" si="17"/>
        <v>365</v>
      </c>
      <c r="Y35" s="191">
        <f t="shared" si="8"/>
        <v>1930.492422161442</v>
      </c>
      <c r="Z35" s="1">
        <f t="shared" si="9"/>
        <v>0.0003972602739726028</v>
      </c>
      <c r="AA35" s="192">
        <f>IF(D35&gt;$P$99,"",IF(D35=$P$99,1,(AA36-SUM(AA36:$AA$99)*((T35+W35)*Z35-(T36+W36)*Z36))/(1+(T35+W35)*Z35)))</f>
        <v>0.8422218411429129</v>
      </c>
      <c r="AB35" s="191">
        <f t="shared" si="10"/>
        <v>2601.968047261074</v>
      </c>
    </row>
    <row r="36" spans="1:28" ht="12.75">
      <c r="A36" s="22">
        <v>23</v>
      </c>
      <c r="B36" s="24">
        <f t="shared" si="18"/>
        <v>185278.35450138693</v>
      </c>
      <c r="C36" s="25">
        <f t="shared" si="11"/>
        <v>41601</v>
      </c>
      <c r="D36" s="25">
        <f t="shared" si="2"/>
        <v>41631</v>
      </c>
      <c r="E36" s="27">
        <f t="shared" si="12"/>
        <v>30</v>
      </c>
      <c r="F36" s="337">
        <f t="shared" si="3"/>
        <v>13121.202133258337</v>
      </c>
      <c r="G36" s="337">
        <f t="shared" si="4"/>
        <v>2364.4878667416633</v>
      </c>
      <c r="H36" s="338">
        <f t="shared" si="0"/>
        <v>15485.69</v>
      </c>
      <c r="I36" s="28">
        <f t="shared" si="19"/>
        <v>41631</v>
      </c>
      <c r="J36" s="28">
        <f t="shared" si="13"/>
        <v>41631</v>
      </c>
      <c r="L36" s="1">
        <f t="shared" si="5"/>
        <v>1</v>
      </c>
      <c r="O36" s="318">
        <f t="shared" si="6"/>
        <v>0</v>
      </c>
      <c r="P36" s="28">
        <f t="shared" si="1"/>
        <v>0</v>
      </c>
      <c r="T36" s="3">
        <f t="shared" si="14"/>
        <v>7</v>
      </c>
      <c r="U36" s="3">
        <f t="shared" si="15"/>
        <v>365</v>
      </c>
      <c r="V36" s="191">
        <f t="shared" si="7"/>
        <v>551.7138355730547</v>
      </c>
      <c r="W36" s="3">
        <f t="shared" si="16"/>
        <v>23</v>
      </c>
      <c r="X36" s="3">
        <f t="shared" si="17"/>
        <v>365</v>
      </c>
      <c r="Y36" s="191">
        <f t="shared" si="8"/>
        <v>1812.7740311686084</v>
      </c>
      <c r="Z36" s="1">
        <f t="shared" si="9"/>
        <v>0.00039726027397260277</v>
      </c>
      <c r="AA36" s="192">
        <f>IF(D36&gt;$P$99,"",IF(D36=$P$99,1,(AA37-SUM(AA37:$AA$99)*((T36+W36)*Z36-(T37+W37)*Z37))/(1+(T36+W36)*Z36)))</f>
        <v>0.8577461578252777</v>
      </c>
      <c r="AB36" s="191">
        <f t="shared" si="10"/>
        <v>2364.4878667416633</v>
      </c>
    </row>
    <row r="37" spans="1:28" ht="12.75">
      <c r="A37" s="22">
        <v>24</v>
      </c>
      <c r="B37" s="24">
        <f t="shared" si="18"/>
        <v>172074.38012736978</v>
      </c>
      <c r="C37" s="25">
        <f t="shared" si="11"/>
        <v>41631</v>
      </c>
      <c r="D37" s="25">
        <f t="shared" si="2"/>
        <v>41662</v>
      </c>
      <c r="E37" s="27">
        <f t="shared" si="12"/>
        <v>31</v>
      </c>
      <c r="F37" s="337">
        <f t="shared" si="3"/>
        <v>13203.974374017167</v>
      </c>
      <c r="G37" s="337">
        <f t="shared" si="4"/>
        <v>2281.715625982834</v>
      </c>
      <c r="H37" s="338">
        <f t="shared" si="0"/>
        <v>15485.69</v>
      </c>
      <c r="I37" s="28">
        <f t="shared" si="19"/>
        <v>41662</v>
      </c>
      <c r="J37" s="28">
        <f t="shared" si="13"/>
        <v>41662</v>
      </c>
      <c r="L37" s="1">
        <f t="shared" si="5"/>
        <v>1</v>
      </c>
      <c r="O37" s="318">
        <f t="shared" si="6"/>
        <v>0</v>
      </c>
      <c r="P37" s="28">
        <f t="shared" si="1"/>
        <v>0</v>
      </c>
      <c r="T37" s="3">
        <f t="shared" si="14"/>
        <v>8</v>
      </c>
      <c r="U37" s="3">
        <f t="shared" si="15"/>
        <v>365</v>
      </c>
      <c r="V37" s="191">
        <f t="shared" si="7"/>
        <v>588.829838963312</v>
      </c>
      <c r="W37" s="3">
        <f t="shared" si="16"/>
        <v>23</v>
      </c>
      <c r="X37" s="3">
        <f t="shared" si="17"/>
        <v>365</v>
      </c>
      <c r="Y37" s="191">
        <f t="shared" si="8"/>
        <v>1692.885787019522</v>
      </c>
      <c r="Z37" s="1">
        <f t="shared" si="9"/>
        <v>0.0003972602739726028</v>
      </c>
      <c r="AA37" s="192">
        <f>IF(D37&gt;$P$99,"",IF(D37=$P$99,1,(AA38-SUM(AA38:$AA$99)*((T37+W37)*Z37-(T38+W38)*Z38))/(1+(T37+W37)*Z37)))</f>
        <v>0.8631570634863704</v>
      </c>
      <c r="AB37" s="191">
        <f t="shared" si="10"/>
        <v>2281.715625982834</v>
      </c>
    </row>
    <row r="38" spans="1:28" ht="12.75">
      <c r="A38" s="22">
        <v>25</v>
      </c>
      <c r="B38" s="24">
        <f t="shared" si="18"/>
        <v>158707.79790455478</v>
      </c>
      <c r="C38" s="25">
        <f t="shared" si="11"/>
        <v>41662</v>
      </c>
      <c r="D38" s="25">
        <f t="shared" si="2"/>
        <v>41693</v>
      </c>
      <c r="E38" s="27">
        <f t="shared" si="12"/>
        <v>31</v>
      </c>
      <c r="F38" s="337">
        <f t="shared" si="3"/>
        <v>13366.582222814995</v>
      </c>
      <c r="G38" s="337">
        <f t="shared" si="4"/>
        <v>2119.107777185006</v>
      </c>
      <c r="H38" s="338">
        <f t="shared" si="0"/>
        <v>15485.69</v>
      </c>
      <c r="I38" s="28">
        <f t="shared" si="19"/>
        <v>41693</v>
      </c>
      <c r="J38" s="28">
        <f t="shared" si="13"/>
        <v>41693</v>
      </c>
      <c r="L38" s="1">
        <f t="shared" si="5"/>
        <v>1</v>
      </c>
      <c r="O38" s="318">
        <f t="shared" si="6"/>
        <v>0</v>
      </c>
      <c r="P38" s="28">
        <f t="shared" si="1"/>
        <v>0</v>
      </c>
      <c r="T38" s="3">
        <f t="shared" si="14"/>
        <v>8</v>
      </c>
      <c r="U38" s="3">
        <f t="shared" si="15"/>
        <v>365</v>
      </c>
      <c r="V38" s="191">
        <f t="shared" si="7"/>
        <v>546.8665231445177</v>
      </c>
      <c r="W38" s="3">
        <f t="shared" si="16"/>
        <v>23</v>
      </c>
      <c r="X38" s="3">
        <f t="shared" si="17"/>
        <v>365</v>
      </c>
      <c r="Y38" s="191">
        <f t="shared" si="8"/>
        <v>1572.2412540404885</v>
      </c>
      <c r="Z38" s="1">
        <f t="shared" si="9"/>
        <v>0.0003972602739726028</v>
      </c>
      <c r="AA38" s="192">
        <f>IF(D38&gt;$P$99,"",IF(D38=$P$99,1,(AA39-SUM(AA39:$AA$99)*((T38+W38)*Z38-(T39+W39)*Z39))/(1+(T38+W38)*Z38)))</f>
        <v>0.873786901843552</v>
      </c>
      <c r="AB38" s="191">
        <f t="shared" si="10"/>
        <v>2119.107777185006</v>
      </c>
    </row>
    <row r="39" spans="1:28" ht="12.75">
      <c r="A39" s="22">
        <v>26</v>
      </c>
      <c r="B39" s="24">
        <f t="shared" si="18"/>
        <v>144987.46039631503</v>
      </c>
      <c r="C39" s="25">
        <f t="shared" si="11"/>
        <v>41693</v>
      </c>
      <c r="D39" s="25">
        <f t="shared" si="2"/>
        <v>41721</v>
      </c>
      <c r="E39" s="27">
        <f t="shared" si="12"/>
        <v>28</v>
      </c>
      <c r="F39" s="337">
        <f t="shared" si="3"/>
        <v>13720.337508239747</v>
      </c>
      <c r="G39" s="337">
        <f t="shared" si="4"/>
        <v>1765.3524917602533</v>
      </c>
      <c r="H39" s="338">
        <f t="shared" si="0"/>
        <v>15485.69</v>
      </c>
      <c r="I39" s="28">
        <f t="shared" si="19"/>
        <v>41721</v>
      </c>
      <c r="J39" s="28">
        <f t="shared" si="13"/>
        <v>41721</v>
      </c>
      <c r="L39" s="1">
        <f t="shared" si="5"/>
        <v>1</v>
      </c>
      <c r="O39" s="318">
        <f t="shared" si="6"/>
        <v>0</v>
      </c>
      <c r="P39" s="28">
        <f t="shared" si="1"/>
        <v>0</v>
      </c>
      <c r="T39" s="3">
        <f t="shared" si="14"/>
        <v>5</v>
      </c>
      <c r="U39" s="3">
        <f t="shared" si="15"/>
        <v>365</v>
      </c>
      <c r="V39" s="191">
        <f t="shared" si="7"/>
        <v>315.2415163857595</v>
      </c>
      <c r="W39" s="3">
        <f t="shared" si="16"/>
        <v>23</v>
      </c>
      <c r="X39" s="3">
        <f t="shared" si="17"/>
        <v>365</v>
      </c>
      <c r="Y39" s="191">
        <f t="shared" si="8"/>
        <v>1450.1109753744938</v>
      </c>
      <c r="Z39" s="1">
        <f t="shared" si="9"/>
        <v>0.0003972602739726028</v>
      </c>
      <c r="AA39" s="192">
        <f>IF(D39&gt;$P$99,"",IF(D39=$P$99,1,(AA40-SUM(AA40:$AA$99)*((T39+W39)*Z39-(T40+W40)*Z40))/(1+(T39+W39)*Z39)))</f>
        <v>0.8969122365273647</v>
      </c>
      <c r="AB39" s="191">
        <f t="shared" si="10"/>
        <v>1765.3524917602533</v>
      </c>
    </row>
    <row r="40" spans="1:28" ht="12.75">
      <c r="A40" s="22">
        <v>27</v>
      </c>
      <c r="B40" s="24">
        <f t="shared" si="18"/>
        <v>131287.3009017436</v>
      </c>
      <c r="C40" s="25">
        <f t="shared" si="11"/>
        <v>41721</v>
      </c>
      <c r="D40" s="25">
        <f t="shared" si="2"/>
        <v>41752</v>
      </c>
      <c r="E40" s="27">
        <f t="shared" si="12"/>
        <v>31</v>
      </c>
      <c r="F40" s="337">
        <f t="shared" si="3"/>
        <v>13700.159494571408</v>
      </c>
      <c r="G40" s="337">
        <f t="shared" si="4"/>
        <v>1785.5305054285923</v>
      </c>
      <c r="H40" s="338">
        <f t="shared" si="0"/>
        <v>15485.69</v>
      </c>
      <c r="I40" s="28">
        <f t="shared" si="19"/>
        <v>41752</v>
      </c>
      <c r="J40" s="28">
        <f t="shared" si="13"/>
        <v>41752</v>
      </c>
      <c r="L40" s="1">
        <f t="shared" si="5"/>
        <v>1</v>
      </c>
      <c r="O40" s="318">
        <f t="shared" si="6"/>
        <v>0</v>
      </c>
      <c r="P40" s="28">
        <f t="shared" si="1"/>
        <v>0</v>
      </c>
      <c r="T40" s="3">
        <f t="shared" si="14"/>
        <v>8</v>
      </c>
      <c r="U40" s="3">
        <f t="shared" si="15"/>
        <v>365</v>
      </c>
      <c r="V40" s="191">
        <f t="shared" si="7"/>
        <v>460.78206591705606</v>
      </c>
      <c r="W40" s="3">
        <f t="shared" si="16"/>
        <v>23</v>
      </c>
      <c r="X40" s="3">
        <f t="shared" si="17"/>
        <v>365</v>
      </c>
      <c r="Y40" s="191">
        <f t="shared" si="8"/>
        <v>1324.7484395115362</v>
      </c>
      <c r="Z40" s="1">
        <f t="shared" si="9"/>
        <v>0.0003972602739726028</v>
      </c>
      <c r="AA40" s="192">
        <f>IF(D40&gt;$P$99,"",IF(D40=$P$99,1,(AA41-SUM(AA41:$AA$99)*((T40+W40)*Z40-(T41+W41)*Z41))/(1+(T40+W40)*Z40)))</f>
        <v>0.8955931830133528</v>
      </c>
      <c r="AB40" s="191">
        <f t="shared" si="10"/>
        <v>1785.5305054285923</v>
      </c>
    </row>
    <row r="41" spans="1:28" ht="12.75">
      <c r="A41" s="22">
        <v>28</v>
      </c>
      <c r="B41" s="24">
        <f t="shared" si="18"/>
        <v>117366.26777550412</v>
      </c>
      <c r="C41" s="25">
        <f t="shared" si="11"/>
        <v>41752</v>
      </c>
      <c r="D41" s="25">
        <f t="shared" si="2"/>
        <v>41782</v>
      </c>
      <c r="E41" s="27">
        <f t="shared" si="12"/>
        <v>30</v>
      </c>
      <c r="F41" s="337">
        <f t="shared" si="3"/>
        <v>13921.033126239494</v>
      </c>
      <c r="G41" s="337">
        <f t="shared" si="4"/>
        <v>1564.6568737605062</v>
      </c>
      <c r="H41" s="338">
        <f t="shared" si="0"/>
        <v>15485.69</v>
      </c>
      <c r="I41" s="28">
        <f t="shared" si="19"/>
        <v>41782</v>
      </c>
      <c r="J41" s="28">
        <f t="shared" si="13"/>
        <v>41782</v>
      </c>
      <c r="L41" s="1">
        <f t="shared" si="5"/>
        <v>1</v>
      </c>
      <c r="O41" s="318">
        <f t="shared" si="6"/>
        <v>0</v>
      </c>
      <c r="P41" s="28">
        <f t="shared" si="1"/>
        <v>0</v>
      </c>
      <c r="T41" s="3">
        <f t="shared" si="14"/>
        <v>7</v>
      </c>
      <c r="U41" s="3">
        <f t="shared" si="15"/>
        <v>365</v>
      </c>
      <c r="V41" s="191">
        <f t="shared" si="7"/>
        <v>365.08660387745147</v>
      </c>
      <c r="W41" s="3">
        <f t="shared" si="16"/>
        <v>23</v>
      </c>
      <c r="X41" s="3">
        <f t="shared" si="17"/>
        <v>365</v>
      </c>
      <c r="Y41" s="191">
        <f t="shared" si="8"/>
        <v>1199.5702698830546</v>
      </c>
      <c r="Z41" s="1">
        <f t="shared" si="9"/>
        <v>0.00039726027397260277</v>
      </c>
      <c r="AA41" s="192">
        <f>IF(D41&gt;$P$99,"",IF(D41=$P$99,1,(AA42-SUM(AA42:$AA$99)*((T41+W41)*Z41-(T42+W42)*Z42))/(1+(T41+W41)*Z41)))</f>
        <v>0.9100319129231608</v>
      </c>
      <c r="AB41" s="191">
        <f t="shared" si="10"/>
        <v>1564.6568737605062</v>
      </c>
    </row>
    <row r="42" spans="1:28" ht="12.75">
      <c r="A42" s="22">
        <v>29</v>
      </c>
      <c r="B42" s="24">
        <f t="shared" si="18"/>
        <v>103325.95140194491</v>
      </c>
      <c r="C42" s="25">
        <f t="shared" si="11"/>
        <v>41782</v>
      </c>
      <c r="D42" s="25">
        <f t="shared" si="2"/>
        <v>41813</v>
      </c>
      <c r="E42" s="27">
        <f t="shared" si="12"/>
        <v>31</v>
      </c>
      <c r="F42" s="337">
        <f t="shared" si="3"/>
        <v>14040.316373559202</v>
      </c>
      <c r="G42" s="337">
        <f t="shared" si="4"/>
        <v>1445.3736264407976</v>
      </c>
      <c r="H42" s="338">
        <f t="shared" si="0"/>
        <v>15485.69</v>
      </c>
      <c r="I42" s="28">
        <f t="shared" si="19"/>
        <v>41813</v>
      </c>
      <c r="J42" s="28">
        <f t="shared" si="13"/>
        <v>41813</v>
      </c>
      <c r="L42" s="1">
        <f t="shared" si="5"/>
        <v>1</v>
      </c>
      <c r="O42" s="318">
        <f t="shared" si="6"/>
        <v>0</v>
      </c>
      <c r="P42" s="28">
        <f t="shared" si="1"/>
        <v>0</v>
      </c>
      <c r="T42" s="3">
        <f t="shared" si="14"/>
        <v>8</v>
      </c>
      <c r="U42" s="3">
        <f t="shared" si="15"/>
        <v>365</v>
      </c>
      <c r="V42" s="191">
        <f t="shared" si="7"/>
        <v>372.99964553310906</v>
      </c>
      <c r="W42" s="3">
        <f t="shared" si="16"/>
        <v>23</v>
      </c>
      <c r="X42" s="3">
        <f t="shared" si="17"/>
        <v>365</v>
      </c>
      <c r="Y42" s="191">
        <f t="shared" si="8"/>
        <v>1072.3739809076885</v>
      </c>
      <c r="Z42" s="1">
        <f t="shared" si="9"/>
        <v>0.0003972602739726028</v>
      </c>
      <c r="AA42" s="192">
        <f>IF(D42&gt;$P$99,"",IF(D42=$P$99,1,(AA43-SUM(AA43:$AA$99)*((T42+W42)*Z42-(T43+W43)*Z43))/(1+(T42+W42)*Z42)))</f>
        <v>0.9178295797427627</v>
      </c>
      <c r="AB42" s="191">
        <f t="shared" si="10"/>
        <v>1445.3736264407976</v>
      </c>
    </row>
    <row r="43" spans="1:28" ht="12.75">
      <c r="A43" s="22">
        <v>30</v>
      </c>
      <c r="B43" s="24">
        <f t="shared" si="18"/>
        <v>89071.68027481741</v>
      </c>
      <c r="C43" s="25">
        <f t="shared" si="11"/>
        <v>41813</v>
      </c>
      <c r="D43" s="25">
        <f t="shared" si="2"/>
        <v>41843</v>
      </c>
      <c r="E43" s="27">
        <f t="shared" si="12"/>
        <v>30</v>
      </c>
      <c r="F43" s="337">
        <f t="shared" si="3"/>
        <v>14254.271127127506</v>
      </c>
      <c r="G43" s="337">
        <f t="shared" si="4"/>
        <v>1231.4188728724944</v>
      </c>
      <c r="H43" s="338">
        <f t="shared" si="0"/>
        <v>15485.69</v>
      </c>
      <c r="I43" s="28">
        <f t="shared" si="19"/>
        <v>41843</v>
      </c>
      <c r="J43" s="28">
        <f t="shared" si="13"/>
        <v>41843</v>
      </c>
      <c r="L43" s="1">
        <f t="shared" si="5"/>
        <v>1</v>
      </c>
      <c r="O43" s="318">
        <f t="shared" si="6"/>
        <v>0</v>
      </c>
      <c r="P43" s="28">
        <f t="shared" si="1"/>
        <v>0</v>
      </c>
      <c r="T43" s="3">
        <f t="shared" si="14"/>
        <v>7</v>
      </c>
      <c r="U43" s="3">
        <f t="shared" si="15"/>
        <v>365</v>
      </c>
      <c r="V43" s="191">
        <f t="shared" si="7"/>
        <v>287.33107033691533</v>
      </c>
      <c r="W43" s="3">
        <f t="shared" si="16"/>
        <v>23</v>
      </c>
      <c r="X43" s="3">
        <f t="shared" si="17"/>
        <v>365</v>
      </c>
      <c r="Y43" s="191">
        <f t="shared" si="8"/>
        <v>944.087802535579</v>
      </c>
      <c r="Z43" s="1">
        <f t="shared" si="9"/>
        <v>0.00039726027397260277</v>
      </c>
      <c r="AA43" s="192">
        <f>IF(D43&gt;$P$99,"",IF(D43=$P$99,1,(AA44-SUM(AA44:$AA$99)*((T43+W43)*Z43-(T44+W44)*Z44))/(1+(T43+W43)*Z43)))</f>
        <v>0.9318160156439739</v>
      </c>
      <c r="AB43" s="191">
        <f t="shared" si="10"/>
        <v>1231.4188728724944</v>
      </c>
    </row>
    <row r="44" spans="1:28" ht="12.75">
      <c r="A44" s="22">
        <v>31</v>
      </c>
      <c r="B44" s="24">
        <f t="shared" si="18"/>
        <v>74682.9141182018</v>
      </c>
      <c r="C44" s="25">
        <f t="shared" si="11"/>
        <v>41843</v>
      </c>
      <c r="D44" s="25">
        <f t="shared" si="2"/>
        <v>41874</v>
      </c>
      <c r="E44" s="27">
        <f t="shared" si="12"/>
        <v>31</v>
      </c>
      <c r="F44" s="337">
        <f t="shared" si="3"/>
        <v>14388.766156615606</v>
      </c>
      <c r="G44" s="337">
        <f t="shared" si="4"/>
        <v>1096.9238433843952</v>
      </c>
      <c r="H44" s="338">
        <f t="shared" si="0"/>
        <v>15485.69</v>
      </c>
      <c r="I44" s="28">
        <f t="shared" si="19"/>
        <v>41874</v>
      </c>
      <c r="J44" s="28">
        <f t="shared" si="13"/>
        <v>41874</v>
      </c>
      <c r="L44" s="1">
        <f t="shared" si="5"/>
        <v>1</v>
      </c>
      <c r="O44" s="318">
        <f t="shared" si="6"/>
        <v>0</v>
      </c>
      <c r="P44" s="28">
        <f t="shared" si="1"/>
        <v>0</v>
      </c>
      <c r="T44" s="3">
        <f t="shared" si="14"/>
        <v>8</v>
      </c>
      <c r="U44" s="3">
        <f t="shared" si="15"/>
        <v>365</v>
      </c>
      <c r="V44" s="191">
        <f t="shared" si="7"/>
        <v>283.07712087339235</v>
      </c>
      <c r="W44" s="3">
        <f t="shared" si="16"/>
        <v>23</v>
      </c>
      <c r="X44" s="3">
        <f t="shared" si="17"/>
        <v>365</v>
      </c>
      <c r="Y44" s="191">
        <f t="shared" si="8"/>
        <v>813.8467225110029</v>
      </c>
      <c r="Z44" s="1">
        <f t="shared" si="9"/>
        <v>0.0003972602739726028</v>
      </c>
      <c r="AA44" s="192">
        <f>IF(D44&gt;$P$99,"",IF(D44=$P$99,1,(AA45-SUM(AA45:$AA$99)*((T44+W44)*Z44-(T45+W45)*Z45))/(1+(T44+W44)*Z44)))</f>
        <v>0.9406080919380049</v>
      </c>
      <c r="AB44" s="191">
        <f t="shared" si="10"/>
        <v>1096.9238433843952</v>
      </c>
    </row>
    <row r="45" spans="1:28" ht="12.75">
      <c r="A45" s="22">
        <v>32</v>
      </c>
      <c r="B45" s="24">
        <f t="shared" si="18"/>
        <v>60116.949320835556</v>
      </c>
      <c r="C45" s="25">
        <f t="shared" si="11"/>
        <v>41874</v>
      </c>
      <c r="D45" s="25">
        <f t="shared" si="2"/>
        <v>41905</v>
      </c>
      <c r="E45" s="27">
        <f t="shared" si="12"/>
        <v>31</v>
      </c>
      <c r="F45" s="337">
        <f t="shared" si="3"/>
        <v>14565.964797366254</v>
      </c>
      <c r="G45" s="337">
        <f t="shared" si="4"/>
        <v>919.7252026337457</v>
      </c>
      <c r="H45" s="338">
        <f t="shared" si="0"/>
        <v>15485.69</v>
      </c>
      <c r="I45" s="28">
        <f t="shared" si="19"/>
        <v>41905</v>
      </c>
      <c r="J45" s="28">
        <f t="shared" si="13"/>
        <v>41905</v>
      </c>
      <c r="L45" s="1">
        <f t="shared" si="5"/>
        <v>1</v>
      </c>
      <c r="O45" s="318">
        <f t="shared" si="6"/>
        <v>0</v>
      </c>
      <c r="P45" s="28">
        <f t="shared" si="1"/>
        <v>0</v>
      </c>
      <c r="T45" s="3">
        <f t="shared" si="14"/>
        <v>8</v>
      </c>
      <c r="U45" s="3">
        <f t="shared" si="15"/>
        <v>365</v>
      </c>
      <c r="V45" s="191">
        <f t="shared" si="7"/>
        <v>237.34843938935373</v>
      </c>
      <c r="W45" s="3">
        <f t="shared" si="16"/>
        <v>23</v>
      </c>
      <c r="X45" s="3">
        <f t="shared" si="17"/>
        <v>365</v>
      </c>
      <c r="Y45" s="191">
        <f t="shared" si="8"/>
        <v>682.3767632443919</v>
      </c>
      <c r="Z45" s="1">
        <f t="shared" si="9"/>
        <v>0.0003972602739726028</v>
      </c>
      <c r="AA45" s="192">
        <f>IF(D45&gt;$P$99,"",IF(D45=$P$99,1,(AA46-SUM(AA46:$AA$99)*((T45+W45)*Z45-(T46+W46)*Z46))/(1+(T45+W45)*Z45)))</f>
        <v>0.9521917450154332</v>
      </c>
      <c r="AB45" s="191">
        <f t="shared" si="10"/>
        <v>919.7252026337457</v>
      </c>
    </row>
    <row r="46" spans="1:28" ht="12.75">
      <c r="A46" s="22">
        <v>33</v>
      </c>
      <c r="B46" s="24">
        <f t="shared" si="18"/>
        <v>45347.72159356332</v>
      </c>
      <c r="C46" s="25">
        <f t="shared" si="11"/>
        <v>41905</v>
      </c>
      <c r="D46" s="25">
        <f t="shared" si="2"/>
        <v>41935</v>
      </c>
      <c r="E46" s="27">
        <f t="shared" si="12"/>
        <v>30</v>
      </c>
      <c r="F46" s="337">
        <f t="shared" si="3"/>
        <v>14769.227727272235</v>
      </c>
      <c r="G46" s="337">
        <f t="shared" si="4"/>
        <v>716.4622727277663</v>
      </c>
      <c r="H46" s="338">
        <f aca="true" t="shared" si="20" ref="H46:H77">IF(C46="","",IF(A46=IF($D$10&gt;=DAY($D$9),$C$7,$C$7),F46+G46,$AB$8))</f>
        <v>15485.69</v>
      </c>
      <c r="I46" s="28">
        <f t="shared" si="19"/>
        <v>41935</v>
      </c>
      <c r="J46" s="28">
        <f t="shared" si="13"/>
        <v>41935</v>
      </c>
      <c r="L46" s="1">
        <f t="shared" si="5"/>
        <v>1</v>
      </c>
      <c r="O46" s="318">
        <f t="shared" si="6"/>
        <v>0</v>
      </c>
      <c r="P46" s="28">
        <f aca="true" t="shared" si="21" ref="P46:P77">IF(O46=0,0,D46)</f>
        <v>0</v>
      </c>
      <c r="T46" s="3">
        <f t="shared" si="14"/>
        <v>7</v>
      </c>
      <c r="U46" s="3">
        <f t="shared" si="15"/>
        <v>365</v>
      </c>
      <c r="V46" s="191">
        <f t="shared" si="7"/>
        <v>167.17453030314547</v>
      </c>
      <c r="W46" s="3">
        <f t="shared" si="16"/>
        <v>23</v>
      </c>
      <c r="X46" s="3">
        <f t="shared" si="17"/>
        <v>365</v>
      </c>
      <c r="Y46" s="191">
        <f t="shared" si="8"/>
        <v>549.2877424246208</v>
      </c>
      <c r="Z46" s="1">
        <f t="shared" si="9"/>
        <v>0.00039726027397260277</v>
      </c>
      <c r="AA46" s="192">
        <f>IF(D46&gt;$P$99,"",IF(D46=$P$99,1,(AA47-SUM(AA47:$AA$99)*((T46+W46)*Z46-(T47+W47)*Z47))/(1+(T46+W46)*Z46)))</f>
        <v>0.9654792456680801</v>
      </c>
      <c r="AB46" s="191">
        <f t="shared" si="10"/>
        <v>716.4622727277663</v>
      </c>
    </row>
    <row r="47" spans="1:28" ht="12.75">
      <c r="A47" s="22">
        <v>34</v>
      </c>
      <c r="B47" s="24">
        <f t="shared" si="18"/>
        <v>30420.49189099638</v>
      </c>
      <c r="C47" s="25">
        <f t="shared" si="11"/>
        <v>41935</v>
      </c>
      <c r="D47" s="25">
        <f aca="true" t="shared" si="22" ref="D47:D78">IF(C47="","",IF(OR(AND($D$10&lt;DAY($D$9),A47&gt;$C$7+1),AND($D$10&gt;=DAY($D$9),$C$7&lt;A47)),"",IF(A47&lt;$C$7,I47,IF(AND($D$10&gt;=DAY($D$9),A47=$C$7),J47,J47))))</f>
        <v>41966</v>
      </c>
      <c r="E47" s="27">
        <f t="shared" si="12"/>
        <v>31</v>
      </c>
      <c r="F47" s="337">
        <f aca="true" t="shared" si="23" ref="F47:F78">IF(C47="","",IF(A47=IF($D$10&gt;=DAY($D$9),$C$7,$C$7),B46,$H$9-G47))</f>
        <v>14927.22970256694</v>
      </c>
      <c r="G47" s="337">
        <f aca="true" t="shared" si="24" ref="G47:G78">IF(C47="","",AB47)</f>
        <v>558.4602974330608</v>
      </c>
      <c r="H47" s="338">
        <f t="shared" si="20"/>
        <v>15485.69</v>
      </c>
      <c r="I47" s="28">
        <f t="shared" si="19"/>
        <v>41966</v>
      </c>
      <c r="J47" s="28">
        <f t="shared" si="13"/>
        <v>41966</v>
      </c>
      <c r="L47" s="1">
        <f t="shared" si="5"/>
        <v>1</v>
      </c>
      <c r="O47" s="318">
        <f t="shared" si="6"/>
        <v>0</v>
      </c>
      <c r="P47" s="28">
        <f t="shared" si="21"/>
        <v>0</v>
      </c>
      <c r="T47" s="3">
        <f t="shared" si="14"/>
        <v>8</v>
      </c>
      <c r="U47" s="3">
        <f t="shared" si="15"/>
        <v>365</v>
      </c>
      <c r="V47" s="191">
        <f aca="true" t="shared" si="25" ref="V47:V78">IF(C47="","",B46*T47*$C$8/U47)</f>
        <v>144.11878643433823</v>
      </c>
      <c r="W47" s="3">
        <f t="shared" si="16"/>
        <v>23</v>
      </c>
      <c r="X47" s="3">
        <f t="shared" si="17"/>
        <v>365</v>
      </c>
      <c r="Y47" s="191">
        <f aca="true" t="shared" si="26" ref="Y47:Y78">IF(C47="","",B46*W47*$C$8/X47)</f>
        <v>414.34151099872247</v>
      </c>
      <c r="Z47" s="1">
        <f aca="true" t="shared" si="27" ref="Z47:Z78">IF(C47="","",$C$8*100*(T47/(U47*100)+W47/(X47*100))/(T47+W47))</f>
        <v>0.0003972602739726028</v>
      </c>
      <c r="AA47" s="192">
        <f>IF(D47&gt;$P$99,"",IF(D47=$P$99,1,(AA48-SUM(AA48:$AA$99)*((T47+W47)*Z47-(T48+W48)*Z48))/(1+(T47+W47)*Z47)))</f>
        <v>0.9758079946130288</v>
      </c>
      <c r="AB47" s="191">
        <f aca="true" t="shared" si="28" ref="AB47:AB78">IF(C47="","",V47+Y47)</f>
        <v>558.4602974330608</v>
      </c>
    </row>
    <row r="48" spans="1:28" ht="12.75">
      <c r="A48" s="22">
        <v>35</v>
      </c>
      <c r="B48" s="24">
        <f t="shared" si="18"/>
        <v>15297.347479286338</v>
      </c>
      <c r="C48" s="25">
        <f t="shared" si="11"/>
        <v>41966</v>
      </c>
      <c r="D48" s="25">
        <f t="shared" si="22"/>
        <v>41996</v>
      </c>
      <c r="E48" s="27">
        <f t="shared" si="12"/>
        <v>30</v>
      </c>
      <c r="F48" s="337">
        <f t="shared" si="23"/>
        <v>15123.144411710044</v>
      </c>
      <c r="G48" s="337">
        <f t="shared" si="24"/>
        <v>362.5455882899569</v>
      </c>
      <c r="H48" s="338">
        <f t="shared" si="20"/>
        <v>15485.69</v>
      </c>
      <c r="I48" s="28">
        <f t="shared" si="19"/>
        <v>41996</v>
      </c>
      <c r="J48" s="28">
        <f t="shared" si="13"/>
        <v>41996</v>
      </c>
      <c r="L48" s="1">
        <f t="shared" si="5"/>
        <v>1</v>
      </c>
      <c r="O48" s="318">
        <f t="shared" si="6"/>
        <v>0</v>
      </c>
      <c r="P48" s="28">
        <f t="shared" si="21"/>
        <v>0</v>
      </c>
      <c r="T48" s="3">
        <f t="shared" si="14"/>
        <v>7</v>
      </c>
      <c r="U48" s="3">
        <f t="shared" si="15"/>
        <v>365</v>
      </c>
      <c r="V48" s="191">
        <f t="shared" si="25"/>
        <v>84.59397060098995</v>
      </c>
      <c r="W48" s="3">
        <f t="shared" si="16"/>
        <v>23</v>
      </c>
      <c r="X48" s="3">
        <f t="shared" si="17"/>
        <v>365</v>
      </c>
      <c r="Y48" s="191">
        <f t="shared" si="26"/>
        <v>277.95161768896696</v>
      </c>
      <c r="Z48" s="1">
        <f t="shared" si="27"/>
        <v>0.00039726027397260277</v>
      </c>
      <c r="AA48" s="192">
        <f>IF(D48&gt;$P$99,"",IF(D48=$P$99,1,(AA49-SUM(AA49:$AA$99)*((T48+W48)*Z48-(T49+W49)*Z49))/(1+(T48+W48)*Z48)))</f>
        <v>0.9886151346960877</v>
      </c>
      <c r="AB48" s="191">
        <f t="shared" si="28"/>
        <v>362.5455882899569</v>
      </c>
    </row>
    <row r="49" spans="1:28" ht="12.75">
      <c r="A49" s="22">
        <v>36</v>
      </c>
      <c r="B49" s="24">
        <f t="shared" si="18"/>
        <v>0</v>
      </c>
      <c r="C49" s="25">
        <f t="shared" si="11"/>
        <v>41996</v>
      </c>
      <c r="D49" s="25">
        <f t="shared" si="22"/>
        <v>42027</v>
      </c>
      <c r="E49" s="27">
        <f t="shared" si="12"/>
        <v>31</v>
      </c>
      <c r="F49" s="337">
        <f t="shared" si="23"/>
        <v>15297.347479286338</v>
      </c>
      <c r="G49" s="337">
        <f t="shared" si="24"/>
        <v>188.38788197093726</v>
      </c>
      <c r="H49" s="338">
        <f t="shared" si="20"/>
        <v>15485.735361257275</v>
      </c>
      <c r="I49" s="28">
        <f t="shared" si="19"/>
        <v>42027</v>
      </c>
      <c r="J49" s="28">
        <f t="shared" si="13"/>
        <v>42027</v>
      </c>
      <c r="L49" s="1">
        <f t="shared" si="5"/>
        <v>1</v>
      </c>
      <c r="O49" s="318">
        <f t="shared" si="6"/>
        <v>1</v>
      </c>
      <c r="P49" s="28">
        <f t="shared" si="21"/>
        <v>42027</v>
      </c>
      <c r="T49" s="3">
        <f t="shared" si="14"/>
        <v>8</v>
      </c>
      <c r="U49" s="3">
        <f t="shared" si="15"/>
        <v>365</v>
      </c>
      <c r="V49" s="191">
        <f t="shared" si="25"/>
        <v>48.61622760540316</v>
      </c>
      <c r="W49" s="3">
        <f t="shared" si="16"/>
        <v>23</v>
      </c>
      <c r="X49" s="3">
        <f t="shared" si="17"/>
        <v>365</v>
      </c>
      <c r="Y49" s="191">
        <f t="shared" si="26"/>
        <v>139.7716543655341</v>
      </c>
      <c r="Z49" s="1">
        <f t="shared" si="27"/>
        <v>0.0003972602739726028</v>
      </c>
      <c r="AA49" s="192">
        <f>IF(D49&gt;$P$99,"",IF(D49=$P$99,1,(AA50-SUM(AA50:$AA$99)*((T49+W49)*Z49-(T50+W50)*Z50))/(1+(T49+W49)*Z49)))</f>
        <v>1</v>
      </c>
      <c r="AB49" s="191">
        <f t="shared" si="28"/>
        <v>188.38788197093726</v>
      </c>
    </row>
    <row r="50" spans="1:28" ht="12.75">
      <c r="A50" s="22">
        <v>37</v>
      </c>
      <c r="B50" s="24">
        <f t="shared" si="18"/>
      </c>
      <c r="C50" s="25">
        <f t="shared" si="11"/>
      </c>
      <c r="D50" s="25">
        <f t="shared" si="22"/>
      </c>
      <c r="E50" s="27">
        <f t="shared" si="12"/>
      </c>
      <c r="F50" s="337">
        <f t="shared" si="23"/>
      </c>
      <c r="G50" s="337">
        <f t="shared" si="24"/>
      </c>
      <c r="H50" s="338">
        <f t="shared" si="20"/>
      </c>
      <c r="I50" s="28">
        <f t="shared" si="19"/>
        <v>42058</v>
      </c>
      <c r="J50" s="28">
        <f t="shared" si="13"/>
        <v>42058</v>
      </c>
      <c r="L50" s="1">
        <f t="shared" si="5"/>
        <v>0</v>
      </c>
      <c r="O50" s="318">
        <f t="shared" si="6"/>
        <v>0</v>
      </c>
      <c r="P50" s="28">
        <f t="shared" si="21"/>
        <v>0</v>
      </c>
      <c r="T50" s="3">
        <f t="shared" si="14"/>
      </c>
      <c r="U50" s="3">
        <f t="shared" si="15"/>
      </c>
      <c r="V50" s="191">
        <f t="shared" si="25"/>
      </c>
      <c r="W50" s="3">
        <f t="shared" si="16"/>
      </c>
      <c r="X50" s="3">
        <f t="shared" si="17"/>
      </c>
      <c r="Y50" s="191">
        <f t="shared" si="26"/>
      </c>
      <c r="Z50" s="1">
        <f t="shared" si="27"/>
      </c>
      <c r="AA50" s="192">
        <f>IF(D50&gt;$P$99,"",IF(D50=$P$99,1,(AA51-SUM(AA51:$AA$99)*((T50+W50)*Z50-(T51+W51)*Z51))/(1+(T50+W50)*Z50)))</f>
      </c>
      <c r="AB50" s="191">
        <f t="shared" si="28"/>
      </c>
    </row>
    <row r="51" spans="1:28" ht="12.75">
      <c r="A51" s="22">
        <v>38</v>
      </c>
      <c r="B51" s="24">
        <f t="shared" si="18"/>
      </c>
      <c r="C51" s="25">
        <f t="shared" si="11"/>
      </c>
      <c r="D51" s="25">
        <f t="shared" si="22"/>
      </c>
      <c r="E51" s="27">
        <f t="shared" si="12"/>
      </c>
      <c r="F51" s="337">
        <f t="shared" si="23"/>
      </c>
      <c r="G51" s="337">
        <f t="shared" si="24"/>
      </c>
      <c r="H51" s="338">
        <f t="shared" si="20"/>
      </c>
      <c r="I51" s="28" t="e">
        <f t="shared" si="19"/>
        <v>#VALUE!</v>
      </c>
      <c r="J51" s="28" t="e">
        <f t="shared" si="13"/>
        <v>#VALUE!</v>
      </c>
      <c r="L51" s="1">
        <f t="shared" si="5"/>
        <v>0</v>
      </c>
      <c r="O51" s="318">
        <f t="shared" si="6"/>
        <v>0</v>
      </c>
      <c r="P51" s="28">
        <f t="shared" si="21"/>
        <v>0</v>
      </c>
      <c r="T51" s="3">
        <f t="shared" si="14"/>
      </c>
      <c r="U51" s="3">
        <f t="shared" si="15"/>
      </c>
      <c r="V51" s="191">
        <f t="shared" si="25"/>
      </c>
      <c r="W51" s="3">
        <f t="shared" si="16"/>
      </c>
      <c r="X51" s="3">
        <f t="shared" si="17"/>
      </c>
      <c r="Y51" s="191">
        <f t="shared" si="26"/>
      </c>
      <c r="Z51" s="1">
        <f t="shared" si="27"/>
      </c>
      <c r="AA51" s="192">
        <f>IF(D51&gt;$P$99,"",IF(D51=$P$99,1,(AA52-SUM(AA52:$AA$99)*((T51+W51)*Z51-(T52+W52)*Z52))/(1+(T51+W51)*Z51)))</f>
      </c>
      <c r="AB51" s="191">
        <f t="shared" si="28"/>
      </c>
    </row>
    <row r="52" spans="1:28" ht="12.75">
      <c r="A52" s="22">
        <v>39</v>
      </c>
      <c r="B52" s="24">
        <f t="shared" si="18"/>
      </c>
      <c r="C52" s="25">
        <f t="shared" si="11"/>
      </c>
      <c r="D52" s="25">
        <f t="shared" si="22"/>
      </c>
      <c r="E52" s="27">
        <f t="shared" si="12"/>
      </c>
      <c r="F52" s="337">
        <f t="shared" si="23"/>
      </c>
      <c r="G52" s="337">
        <f t="shared" si="24"/>
      </c>
      <c r="H52" s="338">
        <f t="shared" si="20"/>
      </c>
      <c r="I52" s="28" t="e">
        <f t="shared" si="19"/>
        <v>#VALUE!</v>
      </c>
      <c r="J52" s="28" t="e">
        <f t="shared" si="13"/>
        <v>#VALUE!</v>
      </c>
      <c r="L52" s="1">
        <f t="shared" si="5"/>
        <v>0</v>
      </c>
      <c r="O52" s="318">
        <f t="shared" si="6"/>
        <v>0</v>
      </c>
      <c r="P52" s="28">
        <f t="shared" si="21"/>
        <v>0</v>
      </c>
      <c r="T52" s="3">
        <f t="shared" si="14"/>
      </c>
      <c r="U52" s="3">
        <f t="shared" si="15"/>
      </c>
      <c r="V52" s="191">
        <f t="shared" si="25"/>
      </c>
      <c r="W52" s="3">
        <f t="shared" si="16"/>
      </c>
      <c r="X52" s="3">
        <f t="shared" si="17"/>
      </c>
      <c r="Y52" s="191">
        <f t="shared" si="26"/>
      </c>
      <c r="Z52" s="1">
        <f t="shared" si="27"/>
      </c>
      <c r="AA52" s="192">
        <f>IF(D52&gt;$P$99,"",IF(D52=$P$99,1,(AA53-SUM(AA53:$AA$99)*((T52+W52)*Z52-(T53+W53)*Z53))/(1+(T52+W52)*Z52)))</f>
      </c>
      <c r="AB52" s="191">
        <f t="shared" si="28"/>
      </c>
    </row>
    <row r="53" spans="1:28" ht="12.75">
      <c r="A53" s="22">
        <v>40</v>
      </c>
      <c r="B53" s="24">
        <f t="shared" si="18"/>
      </c>
      <c r="C53" s="25">
        <f t="shared" si="11"/>
      </c>
      <c r="D53" s="25">
        <f t="shared" si="22"/>
      </c>
      <c r="E53" s="27">
        <f t="shared" si="12"/>
      </c>
      <c r="F53" s="337">
        <f t="shared" si="23"/>
      </c>
      <c r="G53" s="337">
        <f t="shared" si="24"/>
      </c>
      <c r="H53" s="338">
        <f t="shared" si="20"/>
      </c>
      <c r="I53" s="28" t="e">
        <f t="shared" si="19"/>
        <v>#VALUE!</v>
      </c>
      <c r="J53" s="28" t="e">
        <f t="shared" si="13"/>
        <v>#VALUE!</v>
      </c>
      <c r="L53" s="1">
        <f t="shared" si="5"/>
        <v>0</v>
      </c>
      <c r="O53" s="318">
        <f t="shared" si="6"/>
        <v>0</v>
      </c>
      <c r="P53" s="28">
        <f t="shared" si="21"/>
        <v>0</v>
      </c>
      <c r="T53" s="3">
        <f t="shared" si="14"/>
      </c>
      <c r="U53" s="3">
        <f t="shared" si="15"/>
      </c>
      <c r="V53" s="191">
        <f t="shared" si="25"/>
      </c>
      <c r="W53" s="3">
        <f t="shared" si="16"/>
      </c>
      <c r="X53" s="3">
        <f t="shared" si="17"/>
      </c>
      <c r="Y53" s="191">
        <f t="shared" si="26"/>
      </c>
      <c r="Z53" s="1">
        <f t="shared" si="27"/>
      </c>
      <c r="AA53" s="192">
        <f>IF(D53&gt;$P$99,"",IF(D53=$P$99,1,(AA54-SUM(AA54:$AA$99)*((T53+W53)*Z53-(T54+W54)*Z54))/(1+(T53+W53)*Z53)))</f>
      </c>
      <c r="AB53" s="191">
        <f t="shared" si="28"/>
      </c>
    </row>
    <row r="54" spans="1:28" ht="12.75">
      <c r="A54" s="22">
        <v>41</v>
      </c>
      <c r="B54" s="24">
        <f t="shared" si="18"/>
      </c>
      <c r="C54" s="25">
        <f t="shared" si="11"/>
      </c>
      <c r="D54" s="25">
        <f t="shared" si="22"/>
      </c>
      <c r="E54" s="27">
        <f t="shared" si="12"/>
      </c>
      <c r="F54" s="337">
        <f t="shared" si="23"/>
      </c>
      <c r="G54" s="337">
        <f t="shared" si="24"/>
      </c>
      <c r="H54" s="338">
        <f t="shared" si="20"/>
      </c>
      <c r="I54" s="28" t="e">
        <f t="shared" si="19"/>
        <v>#VALUE!</v>
      </c>
      <c r="J54" s="28" t="e">
        <f t="shared" si="13"/>
        <v>#VALUE!</v>
      </c>
      <c r="L54" s="1">
        <f t="shared" si="5"/>
        <v>0</v>
      </c>
      <c r="O54" s="318">
        <f t="shared" si="6"/>
        <v>0</v>
      </c>
      <c r="P54" s="28">
        <f t="shared" si="21"/>
        <v>0</v>
      </c>
      <c r="T54" s="3">
        <f t="shared" si="14"/>
      </c>
      <c r="U54" s="3">
        <f t="shared" si="15"/>
      </c>
      <c r="V54" s="191">
        <f t="shared" si="25"/>
      </c>
      <c r="W54" s="3">
        <f t="shared" si="16"/>
      </c>
      <c r="X54" s="3">
        <f t="shared" si="17"/>
      </c>
      <c r="Y54" s="191">
        <f t="shared" si="26"/>
      </c>
      <c r="Z54" s="1">
        <f t="shared" si="27"/>
      </c>
      <c r="AA54" s="192">
        <f>IF(D54&gt;$P$99,"",IF(D54=$P$99,1,(AA55-SUM(AA55:$AA$99)*((T54+W54)*Z54-(T55+W55)*Z55))/(1+(T54+W54)*Z54)))</f>
      </c>
      <c r="AB54" s="191">
        <f t="shared" si="28"/>
      </c>
    </row>
    <row r="55" spans="1:28" ht="12.75">
      <c r="A55" s="22">
        <v>42</v>
      </c>
      <c r="B55" s="24">
        <f t="shared" si="18"/>
      </c>
      <c r="C55" s="25">
        <f t="shared" si="11"/>
      </c>
      <c r="D55" s="25">
        <f t="shared" si="22"/>
      </c>
      <c r="E55" s="27">
        <f t="shared" si="12"/>
      </c>
      <c r="F55" s="337">
        <f t="shared" si="23"/>
      </c>
      <c r="G55" s="337">
        <f t="shared" si="24"/>
      </c>
      <c r="H55" s="338">
        <f t="shared" si="20"/>
      </c>
      <c r="I55" s="28" t="e">
        <f t="shared" si="19"/>
        <v>#VALUE!</v>
      </c>
      <c r="J55" s="28" t="e">
        <f t="shared" si="13"/>
        <v>#VALUE!</v>
      </c>
      <c r="L55" s="1">
        <f t="shared" si="5"/>
        <v>0</v>
      </c>
      <c r="O55" s="318">
        <f t="shared" si="6"/>
        <v>0</v>
      </c>
      <c r="P55" s="28">
        <f t="shared" si="21"/>
        <v>0</v>
      </c>
      <c r="T55" s="3">
        <f t="shared" si="14"/>
      </c>
      <c r="U55" s="3">
        <f t="shared" si="15"/>
      </c>
      <c r="V55" s="191">
        <f t="shared" si="25"/>
      </c>
      <c r="W55" s="3">
        <f t="shared" si="16"/>
      </c>
      <c r="X55" s="3">
        <f t="shared" si="17"/>
      </c>
      <c r="Y55" s="191">
        <f t="shared" si="26"/>
      </c>
      <c r="Z55" s="1">
        <f t="shared" si="27"/>
      </c>
      <c r="AA55" s="192">
        <f>IF(D55&gt;$P$99,"",IF(D55=$P$99,1,(AA56-SUM(AA56:$AA$99)*((T55+W55)*Z55-(T56+W56)*Z56))/(1+(T55+W55)*Z55)))</f>
      </c>
      <c r="AB55" s="191">
        <f t="shared" si="28"/>
      </c>
    </row>
    <row r="56" spans="1:28" ht="12.75">
      <c r="A56" s="22">
        <v>43</v>
      </c>
      <c r="B56" s="24">
        <f t="shared" si="18"/>
      </c>
      <c r="C56" s="25">
        <f t="shared" si="11"/>
      </c>
      <c r="D56" s="25">
        <f t="shared" si="22"/>
      </c>
      <c r="E56" s="27">
        <f t="shared" si="12"/>
      </c>
      <c r="F56" s="337">
        <f t="shared" si="23"/>
      </c>
      <c r="G56" s="337">
        <f t="shared" si="24"/>
      </c>
      <c r="H56" s="338">
        <f t="shared" si="20"/>
      </c>
      <c r="I56" s="28" t="e">
        <f t="shared" si="19"/>
        <v>#VALUE!</v>
      </c>
      <c r="J56" s="28" t="e">
        <f t="shared" si="13"/>
        <v>#VALUE!</v>
      </c>
      <c r="L56" s="1">
        <f t="shared" si="5"/>
        <v>0</v>
      </c>
      <c r="O56" s="318">
        <f t="shared" si="6"/>
        <v>0</v>
      </c>
      <c r="P56" s="28">
        <f t="shared" si="21"/>
        <v>0</v>
      </c>
      <c r="T56" s="3">
        <f t="shared" si="14"/>
      </c>
      <c r="U56" s="3">
        <f t="shared" si="15"/>
      </c>
      <c r="V56" s="191">
        <f t="shared" si="25"/>
      </c>
      <c r="W56" s="3">
        <f t="shared" si="16"/>
      </c>
      <c r="X56" s="3">
        <f t="shared" si="17"/>
      </c>
      <c r="Y56" s="191">
        <f t="shared" si="26"/>
      </c>
      <c r="Z56" s="1">
        <f t="shared" si="27"/>
      </c>
      <c r="AA56" s="192">
        <f>IF(D56&gt;$P$99,"",IF(D56=$P$99,1,(AA57-SUM(AA57:$AA$99)*((T56+W56)*Z56-(T57+W57)*Z57))/(1+(T56+W56)*Z56)))</f>
      </c>
      <c r="AB56" s="191">
        <f t="shared" si="28"/>
      </c>
    </row>
    <row r="57" spans="1:28" ht="12.75">
      <c r="A57" s="22">
        <v>44</v>
      </c>
      <c r="B57" s="24">
        <f t="shared" si="18"/>
      </c>
      <c r="C57" s="25">
        <f t="shared" si="11"/>
      </c>
      <c r="D57" s="25">
        <f t="shared" si="22"/>
      </c>
      <c r="E57" s="27">
        <f t="shared" si="12"/>
      </c>
      <c r="F57" s="337">
        <f t="shared" si="23"/>
      </c>
      <c r="G57" s="337">
        <f t="shared" si="24"/>
      </c>
      <c r="H57" s="338">
        <f t="shared" si="20"/>
      </c>
      <c r="I57" s="28" t="e">
        <f t="shared" si="19"/>
        <v>#VALUE!</v>
      </c>
      <c r="J57" s="28" t="e">
        <f t="shared" si="13"/>
        <v>#VALUE!</v>
      </c>
      <c r="L57" s="1">
        <f t="shared" si="5"/>
        <v>0</v>
      </c>
      <c r="O57" s="318">
        <f t="shared" si="6"/>
        <v>0</v>
      </c>
      <c r="P57" s="28">
        <f t="shared" si="21"/>
        <v>0</v>
      </c>
      <c r="T57" s="3">
        <f t="shared" si="14"/>
      </c>
      <c r="U57" s="3">
        <f t="shared" si="15"/>
      </c>
      <c r="V57" s="191">
        <f t="shared" si="25"/>
      </c>
      <c r="W57" s="3">
        <f t="shared" si="16"/>
      </c>
      <c r="X57" s="3">
        <f t="shared" si="17"/>
      </c>
      <c r="Y57" s="191">
        <f t="shared" si="26"/>
      </c>
      <c r="Z57" s="1">
        <f t="shared" si="27"/>
      </c>
      <c r="AA57" s="192">
        <f>IF(D57&gt;$P$99,"",IF(D57=$P$99,1,(AA58-SUM(AA58:$AA$99)*((T57+W57)*Z57-(T58+W58)*Z58))/(1+(T57+W57)*Z57)))</f>
      </c>
      <c r="AB57" s="191">
        <f t="shared" si="28"/>
      </c>
    </row>
    <row r="58" spans="1:28" ht="12.75">
      <c r="A58" s="22">
        <v>45</v>
      </c>
      <c r="B58" s="24">
        <f t="shared" si="18"/>
      </c>
      <c r="C58" s="25">
        <f t="shared" si="11"/>
      </c>
      <c r="D58" s="25">
        <f t="shared" si="22"/>
      </c>
      <c r="E58" s="27">
        <f t="shared" si="12"/>
      </c>
      <c r="F58" s="337">
        <f t="shared" si="23"/>
      </c>
      <c r="G58" s="337">
        <f t="shared" si="24"/>
      </c>
      <c r="H58" s="338">
        <f t="shared" si="20"/>
      </c>
      <c r="I58" s="28" t="e">
        <f t="shared" si="19"/>
        <v>#VALUE!</v>
      </c>
      <c r="J58" s="28" t="e">
        <f t="shared" si="13"/>
        <v>#VALUE!</v>
      </c>
      <c r="L58" s="1">
        <f t="shared" si="5"/>
        <v>0</v>
      </c>
      <c r="O58" s="318">
        <f t="shared" si="6"/>
        <v>0</v>
      </c>
      <c r="P58" s="28">
        <f t="shared" si="21"/>
        <v>0</v>
      </c>
      <c r="T58" s="3">
        <f t="shared" si="14"/>
      </c>
      <c r="U58" s="3">
        <f t="shared" si="15"/>
      </c>
      <c r="V58" s="191">
        <f t="shared" si="25"/>
      </c>
      <c r="W58" s="3">
        <f t="shared" si="16"/>
      </c>
      <c r="X58" s="3">
        <f t="shared" si="17"/>
      </c>
      <c r="Y58" s="191">
        <f t="shared" si="26"/>
      </c>
      <c r="Z58" s="1">
        <f t="shared" si="27"/>
      </c>
      <c r="AA58" s="192">
        <f>IF(D58&gt;$P$99,"",IF(D58=$P$99,1,(AA59-SUM(AA59:$AA$99)*((T58+W58)*Z58-(T59+W59)*Z59))/(1+(T58+W58)*Z58)))</f>
      </c>
      <c r="AB58" s="191">
        <f t="shared" si="28"/>
      </c>
    </row>
    <row r="59" spans="1:28" ht="12.75">
      <c r="A59" s="22">
        <v>46</v>
      </c>
      <c r="B59" s="24">
        <f t="shared" si="18"/>
      </c>
      <c r="C59" s="25">
        <f t="shared" si="11"/>
      </c>
      <c r="D59" s="25">
        <f t="shared" si="22"/>
      </c>
      <c r="E59" s="27">
        <f t="shared" si="12"/>
      </c>
      <c r="F59" s="337">
        <f t="shared" si="23"/>
      </c>
      <c r="G59" s="337">
        <f t="shared" si="24"/>
      </c>
      <c r="H59" s="338">
        <f t="shared" si="20"/>
      </c>
      <c r="I59" s="28" t="e">
        <f t="shared" si="19"/>
        <v>#VALUE!</v>
      </c>
      <c r="J59" s="28" t="e">
        <f t="shared" si="13"/>
        <v>#VALUE!</v>
      </c>
      <c r="L59" s="1">
        <f t="shared" si="5"/>
        <v>0</v>
      </c>
      <c r="O59" s="318">
        <f t="shared" si="6"/>
        <v>0</v>
      </c>
      <c r="P59" s="28">
        <f t="shared" si="21"/>
        <v>0</v>
      </c>
      <c r="T59" s="3">
        <f t="shared" si="14"/>
      </c>
      <c r="U59" s="3">
        <f t="shared" si="15"/>
      </c>
      <c r="V59" s="191">
        <f t="shared" si="25"/>
      </c>
      <c r="W59" s="3">
        <f t="shared" si="16"/>
      </c>
      <c r="X59" s="3">
        <f t="shared" si="17"/>
      </c>
      <c r="Y59" s="191">
        <f t="shared" si="26"/>
      </c>
      <c r="Z59" s="1">
        <f t="shared" si="27"/>
      </c>
      <c r="AA59" s="192">
        <f>IF(D59&gt;$P$99,"",IF(D59=$P$99,1,(AA60-SUM(AA60:$AA$99)*((T59+W59)*Z59-(T60+W60)*Z60))/(1+(T59+W59)*Z59)))</f>
      </c>
      <c r="AB59" s="191">
        <f t="shared" si="28"/>
      </c>
    </row>
    <row r="60" spans="1:28" ht="12.75">
      <c r="A60" s="22">
        <v>47</v>
      </c>
      <c r="B60" s="24">
        <f t="shared" si="18"/>
      </c>
      <c r="C60" s="25">
        <f t="shared" si="11"/>
      </c>
      <c r="D60" s="25">
        <f t="shared" si="22"/>
      </c>
      <c r="E60" s="27">
        <f t="shared" si="12"/>
      </c>
      <c r="F60" s="337">
        <f t="shared" si="23"/>
      </c>
      <c r="G60" s="337">
        <f t="shared" si="24"/>
      </c>
      <c r="H60" s="338">
        <f t="shared" si="20"/>
      </c>
      <c r="I60" s="28" t="e">
        <f t="shared" si="19"/>
        <v>#VALUE!</v>
      </c>
      <c r="J60" s="28" t="e">
        <f t="shared" si="13"/>
        <v>#VALUE!</v>
      </c>
      <c r="L60" s="1">
        <f t="shared" si="5"/>
        <v>0</v>
      </c>
      <c r="O60" s="318">
        <f t="shared" si="6"/>
        <v>0</v>
      </c>
      <c r="P60" s="28">
        <f t="shared" si="21"/>
        <v>0</v>
      </c>
      <c r="T60" s="3">
        <f t="shared" si="14"/>
      </c>
      <c r="U60" s="3">
        <f t="shared" si="15"/>
      </c>
      <c r="V60" s="191">
        <f t="shared" si="25"/>
      </c>
      <c r="W60" s="3">
        <f t="shared" si="16"/>
      </c>
      <c r="X60" s="3">
        <f t="shared" si="17"/>
      </c>
      <c r="Y60" s="191">
        <f t="shared" si="26"/>
      </c>
      <c r="Z60" s="1">
        <f t="shared" si="27"/>
      </c>
      <c r="AA60" s="192">
        <f>IF(D60&gt;$P$99,"",IF(D60=$P$99,1,(AA61-SUM(AA61:$AA$99)*((T60+W60)*Z60-(T61+W61)*Z61))/(1+(T60+W60)*Z60)))</f>
      </c>
      <c r="AB60" s="191">
        <f t="shared" si="28"/>
      </c>
    </row>
    <row r="61" spans="1:28" ht="12.75">
      <c r="A61" s="22">
        <v>48</v>
      </c>
      <c r="B61" s="24">
        <f t="shared" si="18"/>
      </c>
      <c r="C61" s="25">
        <f t="shared" si="11"/>
      </c>
      <c r="D61" s="25">
        <f t="shared" si="22"/>
      </c>
      <c r="E61" s="27">
        <f t="shared" si="12"/>
      </c>
      <c r="F61" s="337">
        <f t="shared" si="23"/>
      </c>
      <c r="G61" s="337">
        <f t="shared" si="24"/>
      </c>
      <c r="H61" s="338">
        <f t="shared" si="20"/>
      </c>
      <c r="I61" s="28" t="e">
        <f t="shared" si="19"/>
        <v>#VALUE!</v>
      </c>
      <c r="J61" s="28" t="e">
        <f t="shared" si="13"/>
        <v>#VALUE!</v>
      </c>
      <c r="L61" s="1">
        <f t="shared" si="5"/>
        <v>0</v>
      </c>
      <c r="O61" s="318">
        <f t="shared" si="6"/>
        <v>0</v>
      </c>
      <c r="P61" s="28">
        <f t="shared" si="21"/>
        <v>0</v>
      </c>
      <c r="T61" s="3">
        <f t="shared" si="14"/>
      </c>
      <c r="U61" s="3">
        <f t="shared" si="15"/>
      </c>
      <c r="V61" s="191">
        <f t="shared" si="25"/>
      </c>
      <c r="W61" s="3">
        <f t="shared" si="16"/>
      </c>
      <c r="X61" s="3">
        <f t="shared" si="17"/>
      </c>
      <c r="Y61" s="191">
        <f t="shared" si="26"/>
      </c>
      <c r="Z61" s="1">
        <f t="shared" si="27"/>
      </c>
      <c r="AA61" s="192">
        <f>IF(D61&gt;$P$99,"",IF(D61=$P$99,1,(AA62-SUM(AA62:$AA$99)*((T61+W61)*Z61-(T62+W62)*Z62))/(1+(T61+W61)*Z61)))</f>
      </c>
      <c r="AB61" s="191">
        <f t="shared" si="28"/>
      </c>
    </row>
    <row r="62" spans="1:28" ht="12.75">
      <c r="A62" s="22">
        <v>49</v>
      </c>
      <c r="B62" s="24">
        <f t="shared" si="18"/>
      </c>
      <c r="C62" s="25">
        <f t="shared" si="11"/>
      </c>
      <c r="D62" s="25">
        <f t="shared" si="22"/>
      </c>
      <c r="E62" s="27">
        <f t="shared" si="12"/>
      </c>
      <c r="F62" s="337">
        <f t="shared" si="23"/>
      </c>
      <c r="G62" s="337">
        <f t="shared" si="24"/>
      </c>
      <c r="H62" s="338">
        <f t="shared" si="20"/>
      </c>
      <c r="I62" s="28" t="e">
        <f t="shared" si="19"/>
        <v>#VALUE!</v>
      </c>
      <c r="J62" s="28" t="e">
        <f t="shared" si="13"/>
        <v>#VALUE!</v>
      </c>
      <c r="L62" s="1">
        <f t="shared" si="5"/>
        <v>0</v>
      </c>
      <c r="O62" s="318">
        <f t="shared" si="6"/>
        <v>0</v>
      </c>
      <c r="P62" s="28">
        <f t="shared" si="21"/>
        <v>0</v>
      </c>
      <c r="T62" s="3">
        <f t="shared" si="14"/>
      </c>
      <c r="U62" s="3">
        <f t="shared" si="15"/>
      </c>
      <c r="V62" s="191">
        <f t="shared" si="25"/>
      </c>
      <c r="W62" s="3">
        <f t="shared" si="16"/>
      </c>
      <c r="X62" s="3">
        <f t="shared" si="17"/>
      </c>
      <c r="Y62" s="191">
        <f t="shared" si="26"/>
      </c>
      <c r="Z62" s="1">
        <f t="shared" si="27"/>
      </c>
      <c r="AA62" s="192">
        <f>IF(D62&gt;$P$99,"",IF(D62=$P$99,1,(AA63-SUM(AA63:$AA$99)*((T62+W62)*Z62-(T63+W63)*Z63))/(1+(T62+W62)*Z62)))</f>
      </c>
      <c r="AB62" s="191">
        <f t="shared" si="28"/>
      </c>
    </row>
    <row r="63" spans="1:28" ht="12.75">
      <c r="A63" s="22">
        <v>50</v>
      </c>
      <c r="B63" s="24">
        <f t="shared" si="18"/>
      </c>
      <c r="C63" s="25">
        <f t="shared" si="11"/>
      </c>
      <c r="D63" s="25">
        <f t="shared" si="22"/>
      </c>
      <c r="E63" s="27">
        <f t="shared" si="12"/>
      </c>
      <c r="F63" s="337">
        <f t="shared" si="23"/>
      </c>
      <c r="G63" s="337">
        <f t="shared" si="24"/>
      </c>
      <c r="H63" s="338">
        <f t="shared" si="20"/>
      </c>
      <c r="I63" s="28" t="e">
        <f t="shared" si="19"/>
        <v>#VALUE!</v>
      </c>
      <c r="J63" s="28" t="e">
        <f t="shared" si="13"/>
        <v>#VALUE!</v>
      </c>
      <c r="L63" s="1">
        <f t="shared" si="5"/>
        <v>0</v>
      </c>
      <c r="O63" s="318">
        <f t="shared" si="6"/>
        <v>0</v>
      </c>
      <c r="P63" s="28">
        <f t="shared" si="21"/>
        <v>0</v>
      </c>
      <c r="T63" s="3">
        <f t="shared" si="14"/>
      </c>
      <c r="U63" s="3">
        <f t="shared" si="15"/>
      </c>
      <c r="V63" s="191">
        <f t="shared" si="25"/>
      </c>
      <c r="W63" s="3">
        <f t="shared" si="16"/>
      </c>
      <c r="X63" s="3">
        <f t="shared" si="17"/>
      </c>
      <c r="Y63" s="191">
        <f t="shared" si="26"/>
      </c>
      <c r="Z63" s="1">
        <f t="shared" si="27"/>
      </c>
      <c r="AA63" s="192">
        <f>IF(D63&gt;$P$99,"",IF(D63=$P$99,1,(AA64-SUM(AA64:$AA$99)*((T63+W63)*Z63-(T64+W64)*Z64))/(1+(T63+W63)*Z63)))</f>
      </c>
      <c r="AB63" s="191">
        <f t="shared" si="28"/>
      </c>
    </row>
    <row r="64" spans="1:28" ht="12.75">
      <c r="A64" s="22">
        <v>51</v>
      </c>
      <c r="B64" s="24">
        <f t="shared" si="18"/>
      </c>
      <c r="C64" s="25">
        <f t="shared" si="11"/>
      </c>
      <c r="D64" s="25">
        <f t="shared" si="22"/>
      </c>
      <c r="E64" s="27">
        <f t="shared" si="12"/>
      </c>
      <c r="F64" s="337">
        <f t="shared" si="23"/>
      </c>
      <c r="G64" s="337">
        <f t="shared" si="24"/>
      </c>
      <c r="H64" s="338">
        <f t="shared" si="20"/>
      </c>
      <c r="I64" s="28" t="e">
        <f t="shared" si="19"/>
        <v>#VALUE!</v>
      </c>
      <c r="J64" s="28" t="e">
        <f t="shared" si="13"/>
        <v>#VALUE!</v>
      </c>
      <c r="L64" s="1">
        <f t="shared" si="5"/>
        <v>0</v>
      </c>
      <c r="O64" s="318">
        <f t="shared" si="6"/>
        <v>0</v>
      </c>
      <c r="P64" s="28">
        <f t="shared" si="21"/>
        <v>0</v>
      </c>
      <c r="T64" s="3">
        <f t="shared" si="14"/>
      </c>
      <c r="U64" s="3">
        <f t="shared" si="15"/>
      </c>
      <c r="V64" s="191">
        <f t="shared" si="25"/>
      </c>
      <c r="W64" s="3">
        <f t="shared" si="16"/>
      </c>
      <c r="X64" s="3">
        <f t="shared" si="17"/>
      </c>
      <c r="Y64" s="191">
        <f t="shared" si="26"/>
      </c>
      <c r="Z64" s="1">
        <f t="shared" si="27"/>
      </c>
      <c r="AA64" s="192">
        <f>IF(D64&gt;$P$99,"",IF(D64=$P$99,1,(AA65-SUM(AA65:$AA$99)*((T64+W64)*Z64-(T65+W65)*Z65))/(1+(T64+W64)*Z64)))</f>
      </c>
      <c r="AB64" s="191">
        <f t="shared" si="28"/>
      </c>
    </row>
    <row r="65" spans="1:28" ht="12.75">
      <c r="A65" s="22">
        <v>52</v>
      </c>
      <c r="B65" s="24">
        <f t="shared" si="18"/>
      </c>
      <c r="C65" s="25">
        <f t="shared" si="11"/>
      </c>
      <c r="D65" s="25">
        <f t="shared" si="22"/>
      </c>
      <c r="E65" s="27">
        <f t="shared" si="12"/>
      </c>
      <c r="F65" s="337">
        <f t="shared" si="23"/>
      </c>
      <c r="G65" s="337">
        <f t="shared" si="24"/>
      </c>
      <c r="H65" s="338">
        <f t="shared" si="20"/>
      </c>
      <c r="I65" s="28" t="e">
        <f t="shared" si="19"/>
        <v>#VALUE!</v>
      </c>
      <c r="J65" s="28" t="e">
        <f t="shared" si="13"/>
        <v>#VALUE!</v>
      </c>
      <c r="L65" s="1">
        <f t="shared" si="5"/>
        <v>0</v>
      </c>
      <c r="O65" s="318">
        <f t="shared" si="6"/>
        <v>0</v>
      </c>
      <c r="P65" s="28">
        <f t="shared" si="21"/>
        <v>0</v>
      </c>
      <c r="T65" s="3">
        <f t="shared" si="14"/>
      </c>
      <c r="U65" s="3">
        <f t="shared" si="15"/>
      </c>
      <c r="V65" s="191">
        <f t="shared" si="25"/>
      </c>
      <c r="W65" s="3">
        <f t="shared" si="16"/>
      </c>
      <c r="X65" s="3">
        <f t="shared" si="17"/>
      </c>
      <c r="Y65" s="191">
        <f t="shared" si="26"/>
      </c>
      <c r="Z65" s="1">
        <f t="shared" si="27"/>
      </c>
      <c r="AA65" s="192">
        <f>IF(D65&gt;$P$99,"",IF(D65=$P$99,1,(AA66-SUM(AA66:$AA$99)*((T65+W65)*Z65-(T66+W66)*Z66))/(1+(T65+W65)*Z65)))</f>
      </c>
      <c r="AB65" s="191">
        <f t="shared" si="28"/>
      </c>
    </row>
    <row r="66" spans="1:28" ht="12.75">
      <c r="A66" s="22">
        <v>53</v>
      </c>
      <c r="B66" s="24">
        <f t="shared" si="18"/>
      </c>
      <c r="C66" s="25">
        <f t="shared" si="11"/>
      </c>
      <c r="D66" s="25">
        <f t="shared" si="22"/>
      </c>
      <c r="E66" s="27">
        <f t="shared" si="12"/>
      </c>
      <c r="F66" s="337">
        <f t="shared" si="23"/>
      </c>
      <c r="G66" s="337">
        <f t="shared" si="24"/>
      </c>
      <c r="H66" s="338">
        <f t="shared" si="20"/>
      </c>
      <c r="I66" s="28" t="e">
        <f t="shared" si="19"/>
        <v>#VALUE!</v>
      </c>
      <c r="J66" s="28" t="e">
        <f t="shared" si="13"/>
        <v>#VALUE!</v>
      </c>
      <c r="L66" s="1">
        <f t="shared" si="5"/>
        <v>0</v>
      </c>
      <c r="O66" s="318">
        <f t="shared" si="6"/>
        <v>0</v>
      </c>
      <c r="P66" s="28">
        <f t="shared" si="21"/>
        <v>0</v>
      </c>
      <c r="T66" s="3">
        <f t="shared" si="14"/>
      </c>
      <c r="U66" s="3">
        <f t="shared" si="15"/>
      </c>
      <c r="V66" s="191">
        <f t="shared" si="25"/>
      </c>
      <c r="W66" s="3">
        <f t="shared" si="16"/>
      </c>
      <c r="X66" s="3">
        <f t="shared" si="17"/>
      </c>
      <c r="Y66" s="191">
        <f t="shared" si="26"/>
      </c>
      <c r="Z66" s="1">
        <f t="shared" si="27"/>
      </c>
      <c r="AA66" s="192">
        <f>IF(D66&gt;$P$99,"",IF(D66=$P$99,1,(AA67-SUM(AA67:$AA$99)*((T66+W66)*Z66-(T67+W67)*Z67))/(1+(T66+W66)*Z66)))</f>
      </c>
      <c r="AB66" s="191">
        <f t="shared" si="28"/>
      </c>
    </row>
    <row r="67" spans="1:28" ht="12.75">
      <c r="A67" s="22">
        <v>54</v>
      </c>
      <c r="B67" s="24">
        <f t="shared" si="18"/>
      </c>
      <c r="C67" s="25">
        <f t="shared" si="11"/>
      </c>
      <c r="D67" s="25">
        <f t="shared" si="22"/>
      </c>
      <c r="E67" s="27">
        <f t="shared" si="12"/>
      </c>
      <c r="F67" s="337">
        <f t="shared" si="23"/>
      </c>
      <c r="G67" s="337">
        <f t="shared" si="24"/>
      </c>
      <c r="H67" s="338">
        <f t="shared" si="20"/>
      </c>
      <c r="I67" s="28" t="e">
        <f t="shared" si="19"/>
        <v>#VALUE!</v>
      </c>
      <c r="J67" s="28" t="e">
        <f t="shared" si="13"/>
        <v>#VALUE!</v>
      </c>
      <c r="L67" s="1">
        <f t="shared" si="5"/>
        <v>0</v>
      </c>
      <c r="O67" s="318">
        <f t="shared" si="6"/>
        <v>0</v>
      </c>
      <c r="P67" s="28">
        <f t="shared" si="21"/>
        <v>0</v>
      </c>
      <c r="T67" s="3">
        <f t="shared" si="14"/>
      </c>
      <c r="U67" s="3">
        <f t="shared" si="15"/>
      </c>
      <c r="V67" s="191">
        <f t="shared" si="25"/>
      </c>
      <c r="W67" s="3">
        <f t="shared" si="16"/>
      </c>
      <c r="X67" s="3">
        <f t="shared" si="17"/>
      </c>
      <c r="Y67" s="191">
        <f t="shared" si="26"/>
      </c>
      <c r="Z67" s="1">
        <f t="shared" si="27"/>
      </c>
      <c r="AA67" s="192">
        <f>IF(D67&gt;$P$99,"",IF(D67=$P$99,1,(AA68-SUM(AA68:$AA$99)*((T67+W67)*Z67-(T68+W68)*Z68))/(1+(T67+W67)*Z67)))</f>
      </c>
      <c r="AB67" s="191">
        <f t="shared" si="28"/>
      </c>
    </row>
    <row r="68" spans="1:28" ht="12.75">
      <c r="A68" s="22">
        <v>55</v>
      </c>
      <c r="B68" s="24">
        <f t="shared" si="18"/>
      </c>
      <c r="C68" s="25">
        <f t="shared" si="11"/>
      </c>
      <c r="D68" s="25">
        <f t="shared" si="22"/>
      </c>
      <c r="E68" s="27">
        <f t="shared" si="12"/>
      </c>
      <c r="F68" s="337">
        <f t="shared" si="23"/>
      </c>
      <c r="G68" s="337">
        <f t="shared" si="24"/>
      </c>
      <c r="H68" s="338">
        <f t="shared" si="20"/>
      </c>
      <c r="I68" s="28" t="e">
        <f t="shared" si="19"/>
        <v>#VALUE!</v>
      </c>
      <c r="J68" s="28" t="e">
        <f t="shared" si="13"/>
        <v>#VALUE!</v>
      </c>
      <c r="L68" s="1">
        <f t="shared" si="5"/>
        <v>0</v>
      </c>
      <c r="O68" s="318">
        <f t="shared" si="6"/>
        <v>0</v>
      </c>
      <c r="P68" s="28">
        <f t="shared" si="21"/>
        <v>0</v>
      </c>
      <c r="T68" s="3">
        <f t="shared" si="14"/>
      </c>
      <c r="U68" s="3">
        <f t="shared" si="15"/>
      </c>
      <c r="V68" s="191">
        <f t="shared" si="25"/>
      </c>
      <c r="W68" s="3">
        <f t="shared" si="16"/>
      </c>
      <c r="X68" s="3">
        <f t="shared" si="17"/>
      </c>
      <c r="Y68" s="191">
        <f t="shared" si="26"/>
      </c>
      <c r="Z68" s="1">
        <f t="shared" si="27"/>
      </c>
      <c r="AA68" s="192">
        <f>IF(D68&gt;$P$99,"",IF(D68=$P$99,1,(AA69-SUM(AA69:$AA$99)*((T68+W68)*Z68-(T69+W69)*Z69))/(1+(T68+W68)*Z68)))</f>
      </c>
      <c r="AB68" s="191">
        <f t="shared" si="28"/>
      </c>
    </row>
    <row r="69" spans="1:28" ht="12.75">
      <c r="A69" s="22">
        <v>56</v>
      </c>
      <c r="B69" s="24">
        <f t="shared" si="18"/>
      </c>
      <c r="C69" s="25">
        <f t="shared" si="11"/>
      </c>
      <c r="D69" s="25">
        <f t="shared" si="22"/>
      </c>
      <c r="E69" s="27">
        <f t="shared" si="12"/>
      </c>
      <c r="F69" s="337">
        <f t="shared" si="23"/>
      </c>
      <c r="G69" s="337">
        <f t="shared" si="24"/>
      </c>
      <c r="H69" s="338">
        <f t="shared" si="20"/>
      </c>
      <c r="I69" s="28" t="e">
        <f t="shared" si="19"/>
        <v>#VALUE!</v>
      </c>
      <c r="J69" s="28" t="e">
        <f t="shared" si="13"/>
        <v>#VALUE!</v>
      </c>
      <c r="L69" s="1">
        <f t="shared" si="5"/>
        <v>0</v>
      </c>
      <c r="O69" s="318">
        <f t="shared" si="6"/>
        <v>0</v>
      </c>
      <c r="P69" s="28">
        <f t="shared" si="21"/>
        <v>0</v>
      </c>
      <c r="T69" s="3">
        <f t="shared" si="14"/>
      </c>
      <c r="U69" s="3">
        <f t="shared" si="15"/>
      </c>
      <c r="V69" s="191">
        <f t="shared" si="25"/>
      </c>
      <c r="W69" s="3">
        <f t="shared" si="16"/>
      </c>
      <c r="X69" s="3">
        <f t="shared" si="17"/>
      </c>
      <c r="Y69" s="191">
        <f t="shared" si="26"/>
      </c>
      <c r="Z69" s="1">
        <f t="shared" si="27"/>
      </c>
      <c r="AA69" s="192">
        <f>IF(D69&gt;$P$99,"",IF(D69=$P$99,1,(AA70-SUM(AA70:$AA$99)*((T69+W69)*Z69-(T70+W70)*Z70))/(1+(T69+W69)*Z69)))</f>
      </c>
      <c r="AB69" s="191">
        <f t="shared" si="28"/>
      </c>
    </row>
    <row r="70" spans="1:28" ht="12.75">
      <c r="A70" s="22">
        <v>57</v>
      </c>
      <c r="B70" s="24">
        <f t="shared" si="18"/>
      </c>
      <c r="C70" s="25">
        <f t="shared" si="11"/>
      </c>
      <c r="D70" s="25">
        <f t="shared" si="22"/>
      </c>
      <c r="E70" s="27">
        <f t="shared" si="12"/>
      </c>
      <c r="F70" s="337">
        <f t="shared" si="23"/>
      </c>
      <c r="G70" s="337">
        <f t="shared" si="24"/>
      </c>
      <c r="H70" s="338">
        <f t="shared" si="20"/>
      </c>
      <c r="I70" s="28" t="e">
        <f t="shared" si="19"/>
        <v>#VALUE!</v>
      </c>
      <c r="J70" s="28" t="e">
        <f t="shared" si="13"/>
        <v>#VALUE!</v>
      </c>
      <c r="L70" s="1">
        <f t="shared" si="5"/>
        <v>0</v>
      </c>
      <c r="O70" s="318">
        <f t="shared" si="6"/>
        <v>0</v>
      </c>
      <c r="P70" s="28">
        <f t="shared" si="21"/>
        <v>0</v>
      </c>
      <c r="T70" s="3">
        <f t="shared" si="14"/>
      </c>
      <c r="U70" s="3">
        <f t="shared" si="15"/>
      </c>
      <c r="V70" s="191">
        <f t="shared" si="25"/>
      </c>
      <c r="W70" s="3">
        <f t="shared" si="16"/>
      </c>
      <c r="X70" s="3">
        <f t="shared" si="17"/>
      </c>
      <c r="Y70" s="191">
        <f t="shared" si="26"/>
      </c>
      <c r="Z70" s="1">
        <f t="shared" si="27"/>
      </c>
      <c r="AA70" s="192">
        <f>IF(D70&gt;$P$99,"",IF(D70=$P$99,1,(AA71-SUM(AA71:$AA$99)*((T70+W70)*Z70-(T71+W71)*Z71))/(1+(T70+W70)*Z70)))</f>
      </c>
      <c r="AB70" s="191">
        <f t="shared" si="28"/>
      </c>
    </row>
    <row r="71" spans="1:28" ht="12.75">
      <c r="A71" s="22">
        <v>58</v>
      </c>
      <c r="B71" s="24">
        <f t="shared" si="18"/>
      </c>
      <c r="C71" s="25">
        <f t="shared" si="11"/>
      </c>
      <c r="D71" s="25">
        <f t="shared" si="22"/>
      </c>
      <c r="E71" s="27">
        <f t="shared" si="12"/>
      </c>
      <c r="F71" s="337">
        <f t="shared" si="23"/>
      </c>
      <c r="G71" s="337">
        <f t="shared" si="24"/>
      </c>
      <c r="H71" s="338">
        <f t="shared" si="20"/>
      </c>
      <c r="I71" s="28" t="e">
        <f t="shared" si="19"/>
        <v>#VALUE!</v>
      </c>
      <c r="J71" s="28" t="e">
        <f t="shared" si="13"/>
        <v>#VALUE!</v>
      </c>
      <c r="L71" s="1">
        <f t="shared" si="5"/>
        <v>0</v>
      </c>
      <c r="O71" s="318">
        <f t="shared" si="6"/>
        <v>0</v>
      </c>
      <c r="P71" s="28">
        <f t="shared" si="21"/>
        <v>0</v>
      </c>
      <c r="T71" s="3">
        <f t="shared" si="14"/>
      </c>
      <c r="U71" s="3">
        <f t="shared" si="15"/>
      </c>
      <c r="V71" s="191">
        <f t="shared" si="25"/>
      </c>
      <c r="W71" s="3">
        <f t="shared" si="16"/>
      </c>
      <c r="X71" s="3">
        <f t="shared" si="17"/>
      </c>
      <c r="Y71" s="191">
        <f t="shared" si="26"/>
      </c>
      <c r="Z71" s="1">
        <f t="shared" si="27"/>
      </c>
      <c r="AA71" s="192">
        <f>IF(D71&gt;$P$99,"",IF(D71=$P$99,1,(AA72-SUM(AA72:$AA$99)*((T71+W71)*Z71-(T72+W72)*Z72))/(1+(T71+W71)*Z71)))</f>
      </c>
      <c r="AB71" s="191">
        <f t="shared" si="28"/>
      </c>
    </row>
    <row r="72" spans="1:28" ht="12.75">
      <c r="A72" s="22">
        <v>59</v>
      </c>
      <c r="B72" s="24">
        <f t="shared" si="18"/>
      </c>
      <c r="C72" s="25">
        <f t="shared" si="11"/>
      </c>
      <c r="D72" s="25">
        <f t="shared" si="22"/>
      </c>
      <c r="E72" s="27">
        <f t="shared" si="12"/>
      </c>
      <c r="F72" s="337">
        <f t="shared" si="23"/>
      </c>
      <c r="G72" s="337">
        <f t="shared" si="24"/>
      </c>
      <c r="H72" s="338">
        <f t="shared" si="20"/>
      </c>
      <c r="I72" s="28" t="e">
        <f t="shared" si="19"/>
        <v>#VALUE!</v>
      </c>
      <c r="J72" s="28" t="e">
        <f t="shared" si="13"/>
        <v>#VALUE!</v>
      </c>
      <c r="L72" s="1">
        <f t="shared" si="5"/>
        <v>0</v>
      </c>
      <c r="O72" s="318">
        <f t="shared" si="6"/>
        <v>0</v>
      </c>
      <c r="P72" s="28">
        <f t="shared" si="21"/>
        <v>0</v>
      </c>
      <c r="T72" s="3">
        <f t="shared" si="14"/>
      </c>
      <c r="U72" s="3">
        <f t="shared" si="15"/>
      </c>
      <c r="V72" s="191">
        <f t="shared" si="25"/>
      </c>
      <c r="W72" s="3">
        <f t="shared" si="16"/>
      </c>
      <c r="X72" s="3">
        <f t="shared" si="17"/>
      </c>
      <c r="Y72" s="191">
        <f t="shared" si="26"/>
      </c>
      <c r="Z72" s="1">
        <f t="shared" si="27"/>
      </c>
      <c r="AA72" s="192">
        <f>IF(D72&gt;$P$99,"",IF(D72=$P$99,1,(AA73-SUM(AA73:$AA$99)*((T72+W72)*Z72-(T73+W73)*Z73))/(1+(T72+W72)*Z72)))</f>
      </c>
      <c r="AB72" s="191">
        <f t="shared" si="28"/>
      </c>
    </row>
    <row r="73" spans="1:28" ht="12.75">
      <c r="A73" s="22">
        <v>60</v>
      </c>
      <c r="B73" s="24">
        <f t="shared" si="18"/>
      </c>
      <c r="C73" s="25">
        <f t="shared" si="11"/>
      </c>
      <c r="D73" s="25">
        <f t="shared" si="22"/>
      </c>
      <c r="E73" s="27">
        <f t="shared" si="12"/>
      </c>
      <c r="F73" s="337">
        <f t="shared" si="23"/>
      </c>
      <c r="G73" s="337">
        <f t="shared" si="24"/>
      </c>
      <c r="H73" s="338">
        <f t="shared" si="20"/>
      </c>
      <c r="I73" s="28" t="e">
        <f t="shared" si="19"/>
        <v>#VALUE!</v>
      </c>
      <c r="J73" s="28" t="e">
        <f t="shared" si="13"/>
        <v>#VALUE!</v>
      </c>
      <c r="L73" s="1">
        <f t="shared" si="5"/>
        <v>0</v>
      </c>
      <c r="O73" s="318">
        <f t="shared" si="6"/>
        <v>0</v>
      </c>
      <c r="P73" s="28">
        <f t="shared" si="21"/>
        <v>0</v>
      </c>
      <c r="T73" s="3">
        <f t="shared" si="14"/>
      </c>
      <c r="U73" s="3">
        <f t="shared" si="15"/>
      </c>
      <c r="V73" s="191">
        <f t="shared" si="25"/>
      </c>
      <c r="W73" s="3">
        <f t="shared" si="16"/>
      </c>
      <c r="X73" s="3">
        <f t="shared" si="17"/>
      </c>
      <c r="Y73" s="191">
        <f t="shared" si="26"/>
      </c>
      <c r="Z73" s="1">
        <f t="shared" si="27"/>
      </c>
      <c r="AA73" s="192">
        <f>IF(D73&gt;$P$99,"",IF(D73=$P$99,1,(AA74-SUM(AA74:$AA$99)*((T73+W73)*Z73-(T74+W74)*Z74))/(1+(T73+W73)*Z73)))</f>
      </c>
      <c r="AB73" s="191">
        <f t="shared" si="28"/>
      </c>
    </row>
    <row r="74" spans="1:28" ht="12.75" hidden="1">
      <c r="A74" s="22">
        <v>61</v>
      </c>
      <c r="B74" s="24">
        <f t="shared" si="18"/>
      </c>
      <c r="C74" s="25">
        <f t="shared" si="11"/>
      </c>
      <c r="D74" s="25">
        <f t="shared" si="22"/>
      </c>
      <c r="E74" s="27">
        <f t="shared" si="12"/>
      </c>
      <c r="F74" s="337">
        <f t="shared" si="23"/>
      </c>
      <c r="G74" s="337">
        <f t="shared" si="24"/>
      </c>
      <c r="H74" s="338">
        <f t="shared" si="20"/>
      </c>
      <c r="I74" s="28" t="e">
        <f>DATE(YEAR(D73),MONTH(D73)+1,IF(AND(OR($D$10=29,$D$10=30,$D$10=31),MONTH(D73)+1=2,OR(YEAR(D73)=2004,YEAR(D73)=2008,YEAR(D73)=2012)),29,IF(AND(OR($D$10=29,$D$10=30,$D$10=31),MONTH(D73)+1=2,OR(YEAR(D73)&lt;&gt;2004,YEAR(D73)&lt;&gt;2008,YEAR(D73)&lt;&gt;2012)),28,IF(AND($D$10=31,OR(MONTH(D73)+1=4,MONTH(D73)+1=6,MONTH(D73)+1=9,MONTH(D73)+1=11)),30,$D$10))))</f>
        <v>#VALUE!</v>
      </c>
      <c r="J74" s="28" t="e">
        <f>DATE(YEAR(D73),MONTH(D73)+1,IF(AND(OR(DAY($D$9)=29,DAY($D$9)=30,DAY($D$9)=31),MONTH(D73)+1=2,OR(YEAR(D73)=2004,YEAR(D73)=2008,YEAR(D73)=2012)),29,IF(AND(OR(DAY($D$9)=29,DAY($D$9)=30,DAY($D$9)=31),MONTH(D73)+1=2,OR(YEAR(D73)&lt;&gt;2004,YEAR(D73)&lt;&gt;2008,YEAR(D73)&lt;&gt;2012)),28,IF(AND(DAY($D$9)=31,OR(MONTH(D73)+1=4,MONTH(D73)+1=6,MONTH(D73)+1=9,MONTH(D73)+1=11)),30,DAY($D$9)))))</f>
        <v>#VALUE!</v>
      </c>
      <c r="L74" s="1">
        <f t="shared" si="5"/>
        <v>0</v>
      </c>
      <c r="O74" s="318">
        <f t="shared" si="6"/>
        <v>0</v>
      </c>
      <c r="P74" s="28">
        <f t="shared" si="21"/>
        <v>0</v>
      </c>
      <c r="T74" s="3">
        <f t="shared" si="14"/>
      </c>
      <c r="U74" s="3">
        <f t="shared" si="15"/>
      </c>
      <c r="V74" s="191">
        <f t="shared" si="25"/>
      </c>
      <c r="W74" s="3">
        <f t="shared" si="16"/>
      </c>
      <c r="X74" s="3">
        <f t="shared" si="17"/>
      </c>
      <c r="Y74" s="191">
        <f t="shared" si="26"/>
      </c>
      <c r="Z74" s="1">
        <f t="shared" si="27"/>
      </c>
      <c r="AA74" s="192">
        <f>IF(D74&gt;$P$99,"",IF(D74=$P$99,1,(AA75-SUM(AA75:$AA$99)*((T74+W74)*Z74-(T75+W75)*Z75))/(1+(T74+W74)*Z74)))</f>
      </c>
      <c r="AB74" s="191">
        <f t="shared" si="28"/>
      </c>
    </row>
    <row r="75" spans="1:28" ht="12.75" hidden="1">
      <c r="A75" s="22">
        <v>62</v>
      </c>
      <c r="B75" s="24">
        <f t="shared" si="18"/>
      </c>
      <c r="C75" s="25">
        <f t="shared" si="11"/>
      </c>
      <c r="D75" s="25">
        <f t="shared" si="22"/>
      </c>
      <c r="E75" s="27">
        <f t="shared" si="12"/>
      </c>
      <c r="F75" s="337">
        <f t="shared" si="23"/>
      </c>
      <c r="G75" s="337">
        <f t="shared" si="24"/>
      </c>
      <c r="H75" s="338">
        <f t="shared" si="20"/>
      </c>
      <c r="I75" s="28" t="e">
        <f aca="true" t="shared" si="29" ref="I75:I98">DATE(YEAR(D74),MONTH(D74)+1,IF(AND(OR($D$10=29,$D$10=30,$D$10=31),MONTH(D74)+1=2,OR(YEAR(D74)=2004,YEAR(D74)=2008,YEAR(D74)=2012)),29,IF(AND(OR($D$10=29,$D$10=30,$D$10=31),MONTH(D74)+1=2,OR(YEAR(D74)&lt;&gt;2004,YEAR(D74)&lt;&gt;2008,YEAR(D74)&lt;&gt;2012)),28,IF(AND($D$10=31,OR(MONTH(D74)+1=4,MONTH(D74)+1=6,MONTH(D74)+1=9,MONTH(D74)+1=11)),30,$D$10))))</f>
        <v>#VALUE!</v>
      </c>
      <c r="J75" s="28" t="e">
        <f aca="true" t="shared" si="30" ref="J75:J98">DATE(YEAR(D74),MONTH(D74)+1,IF(AND(OR(DAY($D$9)=29,DAY($D$9)=30,DAY($D$9)=31),MONTH(D74)+1=2,OR(YEAR(D74)=2004,YEAR(D74)=2008,YEAR(D74)=2012)),29,IF(AND(OR(DAY($D$9)=29,DAY($D$9)=30,DAY($D$9)=31),MONTH(D74)+1=2,OR(YEAR(D74)&lt;&gt;2004,YEAR(D74)&lt;&gt;2008,YEAR(D74)&lt;&gt;2012)),28,IF(AND(DAY($D$9)=31,OR(MONTH(D74)+1=4,MONTH(D74)+1=6,MONTH(D74)+1=9,MONTH(D74)+1=11)),30,DAY($D$9)))))</f>
        <v>#VALUE!</v>
      </c>
      <c r="L75" s="1">
        <f t="shared" si="5"/>
        <v>0</v>
      </c>
      <c r="O75" s="318">
        <f t="shared" si="6"/>
        <v>0</v>
      </c>
      <c r="P75" s="28">
        <f t="shared" si="21"/>
        <v>0</v>
      </c>
      <c r="T75" s="3">
        <f t="shared" si="14"/>
      </c>
      <c r="U75" s="3">
        <f t="shared" si="15"/>
      </c>
      <c r="V75" s="191">
        <f t="shared" si="25"/>
      </c>
      <c r="W75" s="3">
        <f t="shared" si="16"/>
      </c>
      <c r="X75" s="3">
        <f t="shared" si="17"/>
      </c>
      <c r="Y75" s="191">
        <f t="shared" si="26"/>
      </c>
      <c r="Z75" s="1">
        <f t="shared" si="27"/>
      </c>
      <c r="AA75" s="192">
        <f>IF(D75&gt;$P$99,"",IF(D75=$P$99,1,(AA76-SUM(AA76:$AA$99)*((T75+W75)*Z75-(T76+W76)*Z76))/(1+(T75+W75)*Z75)))</f>
      </c>
      <c r="AB75" s="191">
        <f t="shared" si="28"/>
      </c>
    </row>
    <row r="76" spans="1:28" ht="12.75" hidden="1">
      <c r="A76" s="22">
        <v>63</v>
      </c>
      <c r="B76" s="24">
        <f t="shared" si="18"/>
      </c>
      <c r="C76" s="25">
        <f t="shared" si="11"/>
      </c>
      <c r="D76" s="25">
        <f t="shared" si="22"/>
      </c>
      <c r="E76" s="27">
        <f t="shared" si="12"/>
      </c>
      <c r="F76" s="337">
        <f t="shared" si="23"/>
      </c>
      <c r="G76" s="337">
        <f t="shared" si="24"/>
      </c>
      <c r="H76" s="338">
        <f t="shared" si="20"/>
      </c>
      <c r="I76" s="28" t="e">
        <f t="shared" si="29"/>
        <v>#VALUE!</v>
      </c>
      <c r="J76" s="28" t="e">
        <f t="shared" si="30"/>
        <v>#VALUE!</v>
      </c>
      <c r="L76" s="1">
        <f t="shared" si="5"/>
        <v>0</v>
      </c>
      <c r="O76" s="318">
        <f t="shared" si="6"/>
        <v>0</v>
      </c>
      <c r="P76" s="28">
        <f t="shared" si="21"/>
        <v>0</v>
      </c>
      <c r="T76" s="3">
        <f t="shared" si="14"/>
      </c>
      <c r="U76" s="3">
        <f t="shared" si="15"/>
      </c>
      <c r="V76" s="191">
        <f t="shared" si="25"/>
      </c>
      <c r="W76" s="3">
        <f t="shared" si="16"/>
      </c>
      <c r="X76" s="3">
        <f t="shared" si="17"/>
      </c>
      <c r="Y76" s="191">
        <f t="shared" si="26"/>
      </c>
      <c r="Z76" s="1">
        <f t="shared" si="27"/>
      </c>
      <c r="AA76" s="192">
        <f>IF(D76&gt;$P$99,"",IF(D76=$P$99,1,(AA77-SUM(AA77:$AA$99)*((T76+W76)*Z76-(T77+W77)*Z77))/(1+(T76+W76)*Z76)))</f>
      </c>
      <c r="AB76" s="191">
        <f t="shared" si="28"/>
      </c>
    </row>
    <row r="77" spans="1:28" ht="12.75" hidden="1">
      <c r="A77" s="22">
        <v>64</v>
      </c>
      <c r="B77" s="24">
        <f t="shared" si="18"/>
      </c>
      <c r="C77" s="25">
        <f t="shared" si="11"/>
      </c>
      <c r="D77" s="25">
        <f t="shared" si="22"/>
      </c>
      <c r="E77" s="27">
        <f t="shared" si="12"/>
      </c>
      <c r="F77" s="337">
        <f t="shared" si="23"/>
      </c>
      <c r="G77" s="337">
        <f t="shared" si="24"/>
      </c>
      <c r="H77" s="338">
        <f t="shared" si="20"/>
      </c>
      <c r="I77" s="28" t="e">
        <f t="shared" si="29"/>
        <v>#VALUE!</v>
      </c>
      <c r="J77" s="28" t="e">
        <f t="shared" si="30"/>
        <v>#VALUE!</v>
      </c>
      <c r="L77" s="1">
        <f t="shared" si="5"/>
        <v>0</v>
      </c>
      <c r="O77" s="318">
        <f t="shared" si="6"/>
        <v>0</v>
      </c>
      <c r="P77" s="28">
        <f t="shared" si="21"/>
        <v>0</v>
      </c>
      <c r="T77" s="3">
        <f t="shared" si="14"/>
      </c>
      <c r="U77" s="3">
        <f t="shared" si="15"/>
      </c>
      <c r="V77" s="191">
        <f t="shared" si="25"/>
      </c>
      <c r="W77" s="3">
        <f t="shared" si="16"/>
      </c>
      <c r="X77" s="3">
        <f t="shared" si="17"/>
      </c>
      <c r="Y77" s="191">
        <f t="shared" si="26"/>
      </c>
      <c r="Z77" s="1">
        <f t="shared" si="27"/>
      </c>
      <c r="AA77" s="192">
        <f>IF(D77&gt;$P$99,"",IF(D77=$P$99,1,(AA78-SUM(AA78:$AA$99)*((T77+W77)*Z77-(T78+W78)*Z78))/(1+(T77+W77)*Z77)))</f>
      </c>
      <c r="AB77" s="191">
        <f t="shared" si="28"/>
      </c>
    </row>
    <row r="78" spans="1:28" ht="12.75" hidden="1">
      <c r="A78" s="22">
        <v>65</v>
      </c>
      <c r="B78" s="24">
        <f t="shared" si="18"/>
      </c>
      <c r="C78" s="25">
        <f t="shared" si="11"/>
      </c>
      <c r="D78" s="25">
        <f t="shared" si="22"/>
      </c>
      <c r="E78" s="27">
        <f t="shared" si="12"/>
      </c>
      <c r="F78" s="337">
        <f t="shared" si="23"/>
      </c>
      <c r="G78" s="337">
        <f t="shared" si="24"/>
      </c>
      <c r="H78" s="338">
        <f aca="true" t="shared" si="31" ref="H78:H98">IF(C78="","",IF(A78=IF($D$10&gt;=DAY($D$9),$C$7,$C$7),F78+G78,$AB$8))</f>
      </c>
      <c r="I78" s="28" t="e">
        <f t="shared" si="29"/>
        <v>#VALUE!</v>
      </c>
      <c r="J78" s="28" t="e">
        <f t="shared" si="30"/>
        <v>#VALUE!</v>
      </c>
      <c r="L78" s="1">
        <f t="shared" si="5"/>
        <v>0</v>
      </c>
      <c r="O78" s="318">
        <f t="shared" si="6"/>
        <v>0</v>
      </c>
      <c r="P78" s="28">
        <f aca="true" t="shared" si="32" ref="P78:P98">IF(O78=0,0,D78)</f>
        <v>0</v>
      </c>
      <c r="T78" s="3">
        <f t="shared" si="14"/>
      </c>
      <c r="U78" s="3">
        <f t="shared" si="15"/>
      </c>
      <c r="V78" s="191">
        <f t="shared" si="25"/>
      </c>
      <c r="W78" s="3">
        <f t="shared" si="16"/>
      </c>
      <c r="X78" s="3">
        <f t="shared" si="17"/>
      </c>
      <c r="Y78" s="191">
        <f t="shared" si="26"/>
      </c>
      <c r="Z78" s="1">
        <f t="shared" si="27"/>
      </c>
      <c r="AA78" s="192">
        <f>IF(D78&gt;$P$99,"",IF(D78=$P$99,1,(AA79-SUM(AA79:$AA$99)*((T78+W78)*Z78-(T79+W79)*Z79))/(1+(T78+W78)*Z78)))</f>
      </c>
      <c r="AB78" s="191">
        <f t="shared" si="28"/>
      </c>
    </row>
    <row r="79" spans="1:28" ht="12.75" hidden="1">
      <c r="A79" s="22">
        <v>66</v>
      </c>
      <c r="B79" s="24">
        <f t="shared" si="18"/>
      </c>
      <c r="C79" s="25">
        <f t="shared" si="11"/>
      </c>
      <c r="D79" s="25">
        <f aca="true" t="shared" si="33" ref="D79:D98">IF(C79="","",IF(OR(AND($D$10&lt;DAY($D$9),A79&gt;$C$7+1),AND($D$10&gt;=DAY($D$9),$C$7&lt;A79)),"",IF(A79&lt;$C$7,I79,IF(AND($D$10&gt;=DAY($D$9),A79=$C$7),J79,J79))))</f>
      </c>
      <c r="E79" s="27">
        <f t="shared" si="12"/>
      </c>
      <c r="F79" s="337">
        <f aca="true" t="shared" si="34" ref="F79:F98">IF(C79="","",IF(A79=IF($D$10&gt;=DAY($D$9),$C$7,$C$7),B78,$H$9-G79))</f>
      </c>
      <c r="G79" s="337">
        <f aca="true" t="shared" si="35" ref="G79:G98">IF(C79="","",AB79)</f>
      </c>
      <c r="H79" s="338">
        <f t="shared" si="31"/>
      </c>
      <c r="I79" s="28" t="e">
        <f t="shared" si="29"/>
        <v>#VALUE!</v>
      </c>
      <c r="J79" s="28" t="e">
        <f t="shared" si="30"/>
        <v>#VALUE!</v>
      </c>
      <c r="L79" s="1">
        <f aca="true" t="shared" si="36" ref="L79:L98">IF(D79="",0,1)</f>
        <v>0</v>
      </c>
      <c r="O79" s="318">
        <f aca="true" t="shared" si="37" ref="O79:O97">IF(AND(D79&lt;&gt;"",D80="",D81=""),1,IF(AND(D79="",D80="",D81=""),0,0))</f>
        <v>0</v>
      </c>
      <c r="P79" s="28">
        <f t="shared" si="32"/>
        <v>0</v>
      </c>
      <c r="T79" s="3">
        <f t="shared" si="14"/>
      </c>
      <c r="U79" s="3">
        <f t="shared" si="15"/>
      </c>
      <c r="V79" s="191">
        <f aca="true" t="shared" si="38" ref="V79:V98">IF(C79="","",B78*T79*$C$8/U79)</f>
      </c>
      <c r="W79" s="3">
        <f t="shared" si="16"/>
      </c>
      <c r="X79" s="3">
        <f t="shared" si="17"/>
      </c>
      <c r="Y79" s="191">
        <f aca="true" t="shared" si="39" ref="Y79:Y98">IF(C79="","",B78*W79*$C$8/X79)</f>
      </c>
      <c r="Z79" s="1">
        <f aca="true" t="shared" si="40" ref="Z79:Z98">IF(C79="","",$C$8*100*(T79/(U79*100)+W79/(X79*100))/(T79+W79))</f>
      </c>
      <c r="AA79" s="192">
        <f>IF(D79&gt;$P$99,"",IF(D79=$P$99,1,(AA80-SUM(AA80:$AA$99)*((T79+W79)*Z79-(T80+W80)*Z80))/(1+(T79+W79)*Z79)))</f>
      </c>
      <c r="AB79" s="191">
        <f aca="true" t="shared" si="41" ref="AB79:AB98">IF(C79="","",V79+Y79)</f>
      </c>
    </row>
    <row r="80" spans="1:28" ht="12.75" hidden="1">
      <c r="A80" s="22">
        <v>67</v>
      </c>
      <c r="B80" s="24">
        <f t="shared" si="18"/>
      </c>
      <c r="C80" s="25">
        <f aca="true" t="shared" si="42" ref="C80:C98">IF(D79="","",IF(A80&gt;$C$7,"",D79))</f>
      </c>
      <c r="D80" s="25">
        <f t="shared" si="33"/>
      </c>
      <c r="E80" s="27">
        <f aca="true" t="shared" si="43" ref="E80:E98">IF(C80="","",D80-C80)</f>
      </c>
      <c r="F80" s="337">
        <f t="shared" si="34"/>
      </c>
      <c r="G80" s="337">
        <f t="shared" si="35"/>
      </c>
      <c r="H80" s="338">
        <f t="shared" si="31"/>
      </c>
      <c r="I80" s="28" t="e">
        <f t="shared" si="29"/>
        <v>#VALUE!</v>
      </c>
      <c r="J80" s="28" t="e">
        <f t="shared" si="30"/>
        <v>#VALUE!</v>
      </c>
      <c r="L80" s="1">
        <f t="shared" si="36"/>
        <v>0</v>
      </c>
      <c r="O80" s="318">
        <f t="shared" si="37"/>
        <v>0</v>
      </c>
      <c r="P80" s="28">
        <f t="shared" si="32"/>
        <v>0</v>
      </c>
      <c r="T80" s="3">
        <f aca="true" t="shared" si="44" ref="T80:T98">IF(C80="","",IF(MONTH(C80)=MONTH(D80),D80-C80,IF(OR(MONTH(C80)=1,MONTH(C80)=3,MONTH(C80)=5,MONTH(C80)=7,MONTH(C80)=8,MONTH(C80)=10,MONTH(C80)=12),31,IF(OR(MONTH(C80)=4,MONTH(C80)=6,MONTH(C80)=9,MONTH(C80)=11),30,IF(AND(MONTH(C80)=2,OR(YEAR(C80)=2004,YEAR(C80)=2008,YEAR(C80)=2012,YEAR(C80)=2016,YEAR(C80)=2020)),29,28)))-DAY(C80)))</f>
      </c>
      <c r="U80" s="3">
        <f aca="true" t="shared" si="45" ref="U80:U98">IF(C80="","",IF(MOD(YEAR(C80),4)=0,366,365))</f>
      </c>
      <c r="V80" s="191">
        <f t="shared" si="38"/>
      </c>
      <c r="W80" s="3">
        <f aca="true" t="shared" si="46" ref="W80:W98">IF(C80="","",IF(MONTH(C80)=MONTH(D80),0,DAY(D80)))</f>
      </c>
      <c r="X80" s="3">
        <f aca="true" t="shared" si="47" ref="X80:X98">IF(C80="","",IF(MOD(YEAR(D80),4)=0,366,365))</f>
      </c>
      <c r="Y80" s="191">
        <f t="shared" si="39"/>
      </c>
      <c r="Z80" s="1">
        <f t="shared" si="40"/>
      </c>
      <c r="AA80" s="192">
        <f>IF(D80&gt;$P$99,"",IF(D80=$P$99,1,(AA81-SUM(AA81:$AA$99)*((T80+W80)*Z80-(T81+W81)*Z81))/(1+(T80+W80)*Z80)))</f>
      </c>
      <c r="AB80" s="191">
        <f t="shared" si="41"/>
      </c>
    </row>
    <row r="81" spans="1:28" ht="12.75" hidden="1">
      <c r="A81" s="22">
        <v>68</v>
      </c>
      <c r="B81" s="24">
        <f aca="true" t="shared" si="48" ref="B81:B98">IF(C81="","",B80-F81)</f>
      </c>
      <c r="C81" s="25">
        <f t="shared" si="42"/>
      </c>
      <c r="D81" s="25">
        <f t="shared" si="33"/>
      </c>
      <c r="E81" s="27">
        <f t="shared" si="43"/>
      </c>
      <c r="F81" s="337">
        <f t="shared" si="34"/>
      </c>
      <c r="G81" s="337">
        <f t="shared" si="35"/>
      </c>
      <c r="H81" s="338">
        <f t="shared" si="31"/>
      </c>
      <c r="I81" s="28" t="e">
        <f t="shared" si="29"/>
        <v>#VALUE!</v>
      </c>
      <c r="J81" s="28" t="e">
        <f t="shared" si="30"/>
        <v>#VALUE!</v>
      </c>
      <c r="L81" s="1">
        <f t="shared" si="36"/>
        <v>0</v>
      </c>
      <c r="O81" s="318">
        <f t="shared" si="37"/>
        <v>0</v>
      </c>
      <c r="P81" s="28">
        <f t="shared" si="32"/>
        <v>0</v>
      </c>
      <c r="T81" s="3">
        <f t="shared" si="44"/>
      </c>
      <c r="U81" s="3">
        <f t="shared" si="45"/>
      </c>
      <c r="V81" s="191">
        <f t="shared" si="38"/>
      </c>
      <c r="W81" s="3">
        <f t="shared" si="46"/>
      </c>
      <c r="X81" s="3">
        <f t="shared" si="47"/>
      </c>
      <c r="Y81" s="191">
        <f t="shared" si="39"/>
      </c>
      <c r="Z81" s="1">
        <f t="shared" si="40"/>
      </c>
      <c r="AA81" s="192">
        <f>IF(D81&gt;$P$99,"",IF(D81=$P$99,1,(AA82-SUM(AA82:$AA$99)*((T81+W81)*Z81-(T82+W82)*Z82))/(1+(T81+W81)*Z81)))</f>
      </c>
      <c r="AB81" s="191">
        <f t="shared" si="41"/>
      </c>
    </row>
    <row r="82" spans="1:28" ht="12.75" hidden="1">
      <c r="A82" s="22">
        <v>69</v>
      </c>
      <c r="B82" s="24">
        <f t="shared" si="48"/>
      </c>
      <c r="C82" s="25">
        <f t="shared" si="42"/>
      </c>
      <c r="D82" s="25">
        <f t="shared" si="33"/>
      </c>
      <c r="E82" s="27">
        <f t="shared" si="43"/>
      </c>
      <c r="F82" s="337">
        <f t="shared" si="34"/>
      </c>
      <c r="G82" s="337">
        <f t="shared" si="35"/>
      </c>
      <c r="H82" s="338">
        <f t="shared" si="31"/>
      </c>
      <c r="I82" s="28" t="e">
        <f t="shared" si="29"/>
        <v>#VALUE!</v>
      </c>
      <c r="J82" s="28" t="e">
        <f t="shared" si="30"/>
        <v>#VALUE!</v>
      </c>
      <c r="L82" s="1">
        <f t="shared" si="36"/>
        <v>0</v>
      </c>
      <c r="O82" s="318">
        <f t="shared" si="37"/>
        <v>0</v>
      </c>
      <c r="P82" s="28">
        <f t="shared" si="32"/>
        <v>0</v>
      </c>
      <c r="T82" s="3">
        <f t="shared" si="44"/>
      </c>
      <c r="U82" s="3">
        <f t="shared" si="45"/>
      </c>
      <c r="V82" s="191">
        <f t="shared" si="38"/>
      </c>
      <c r="W82" s="3">
        <f t="shared" si="46"/>
      </c>
      <c r="X82" s="3">
        <f t="shared" si="47"/>
      </c>
      <c r="Y82" s="191">
        <f t="shared" si="39"/>
      </c>
      <c r="Z82" s="1">
        <f t="shared" si="40"/>
      </c>
      <c r="AA82" s="192">
        <f>IF(D82&gt;$P$99,"",IF(D82=$P$99,1,(AA83-SUM(AA83:$AA$99)*((T82+W82)*Z82-(T83+W83)*Z83))/(1+(T82+W82)*Z82)))</f>
      </c>
      <c r="AB82" s="191">
        <f t="shared" si="41"/>
      </c>
    </row>
    <row r="83" spans="1:28" ht="12.75" hidden="1">
      <c r="A83" s="22">
        <v>70</v>
      </c>
      <c r="B83" s="24">
        <f t="shared" si="48"/>
      </c>
      <c r="C83" s="25">
        <f t="shared" si="42"/>
      </c>
      <c r="D83" s="25">
        <f t="shared" si="33"/>
      </c>
      <c r="E83" s="27">
        <f t="shared" si="43"/>
      </c>
      <c r="F83" s="337">
        <f t="shared" si="34"/>
      </c>
      <c r="G83" s="337">
        <f t="shared" si="35"/>
      </c>
      <c r="H83" s="338">
        <f t="shared" si="31"/>
      </c>
      <c r="I83" s="28" t="e">
        <f t="shared" si="29"/>
        <v>#VALUE!</v>
      </c>
      <c r="J83" s="28" t="e">
        <f t="shared" si="30"/>
        <v>#VALUE!</v>
      </c>
      <c r="L83" s="1">
        <f t="shared" si="36"/>
        <v>0</v>
      </c>
      <c r="O83" s="318">
        <f t="shared" si="37"/>
        <v>0</v>
      </c>
      <c r="P83" s="28">
        <f t="shared" si="32"/>
        <v>0</v>
      </c>
      <c r="T83" s="3">
        <f t="shared" si="44"/>
      </c>
      <c r="U83" s="3">
        <f t="shared" si="45"/>
      </c>
      <c r="V83" s="191">
        <f t="shared" si="38"/>
      </c>
      <c r="W83" s="3">
        <f t="shared" si="46"/>
      </c>
      <c r="X83" s="3">
        <f t="shared" si="47"/>
      </c>
      <c r="Y83" s="191">
        <f t="shared" si="39"/>
      </c>
      <c r="Z83" s="1">
        <f t="shared" si="40"/>
      </c>
      <c r="AA83" s="192">
        <f>IF(D83&gt;$P$99,"",IF(D83=$P$99,1,(AA84-SUM(AA84:$AA$99)*((T83+W83)*Z83-(T84+W84)*Z84))/(1+(T83+W83)*Z83)))</f>
      </c>
      <c r="AB83" s="191">
        <f t="shared" si="41"/>
      </c>
    </row>
    <row r="84" spans="1:28" ht="12.75" hidden="1">
      <c r="A84" s="22">
        <v>71</v>
      </c>
      <c r="B84" s="24">
        <f t="shared" si="48"/>
      </c>
      <c r="C84" s="25">
        <f t="shared" si="42"/>
      </c>
      <c r="D84" s="25">
        <f t="shared" si="33"/>
      </c>
      <c r="E84" s="27">
        <f t="shared" si="43"/>
      </c>
      <c r="F84" s="337">
        <f t="shared" si="34"/>
      </c>
      <c r="G84" s="337">
        <f t="shared" si="35"/>
      </c>
      <c r="H84" s="338">
        <f t="shared" si="31"/>
      </c>
      <c r="I84" s="28" t="e">
        <f t="shared" si="29"/>
        <v>#VALUE!</v>
      </c>
      <c r="J84" s="28" t="e">
        <f t="shared" si="30"/>
        <v>#VALUE!</v>
      </c>
      <c r="L84" s="1">
        <f t="shared" si="36"/>
        <v>0</v>
      </c>
      <c r="O84" s="318">
        <f t="shared" si="37"/>
        <v>0</v>
      </c>
      <c r="P84" s="28">
        <f t="shared" si="32"/>
        <v>0</v>
      </c>
      <c r="T84" s="3">
        <f t="shared" si="44"/>
      </c>
      <c r="U84" s="3">
        <f t="shared" si="45"/>
      </c>
      <c r="V84" s="191">
        <f t="shared" si="38"/>
      </c>
      <c r="W84" s="3">
        <f t="shared" si="46"/>
      </c>
      <c r="X84" s="3">
        <f t="shared" si="47"/>
      </c>
      <c r="Y84" s="191">
        <f t="shared" si="39"/>
      </c>
      <c r="Z84" s="1">
        <f t="shared" si="40"/>
      </c>
      <c r="AA84" s="192">
        <f>IF(D84&gt;$P$99,"",IF(D84=$P$99,1,(AA85-SUM(AA85:$AA$99)*((T84+W84)*Z84-(T85+W85)*Z85))/(1+(T84+W84)*Z84)))</f>
      </c>
      <c r="AB84" s="191">
        <f t="shared" si="41"/>
      </c>
    </row>
    <row r="85" spans="1:28" ht="12.75" hidden="1">
      <c r="A85" s="22">
        <v>72</v>
      </c>
      <c r="B85" s="24">
        <f t="shared" si="48"/>
      </c>
      <c r="C85" s="25">
        <f t="shared" si="42"/>
      </c>
      <c r="D85" s="25">
        <f t="shared" si="33"/>
      </c>
      <c r="E85" s="27">
        <f t="shared" si="43"/>
      </c>
      <c r="F85" s="337">
        <f t="shared" si="34"/>
      </c>
      <c r="G85" s="337">
        <f t="shared" si="35"/>
      </c>
      <c r="H85" s="338">
        <f t="shared" si="31"/>
      </c>
      <c r="I85" s="28" t="e">
        <f t="shared" si="29"/>
        <v>#VALUE!</v>
      </c>
      <c r="J85" s="28" t="e">
        <f t="shared" si="30"/>
        <v>#VALUE!</v>
      </c>
      <c r="L85" s="1">
        <f t="shared" si="36"/>
        <v>0</v>
      </c>
      <c r="O85" s="318">
        <f t="shared" si="37"/>
        <v>0</v>
      </c>
      <c r="P85" s="28">
        <f t="shared" si="32"/>
        <v>0</v>
      </c>
      <c r="T85" s="3">
        <f t="shared" si="44"/>
      </c>
      <c r="U85" s="3">
        <f t="shared" si="45"/>
      </c>
      <c r="V85" s="191">
        <f t="shared" si="38"/>
      </c>
      <c r="W85" s="3">
        <f t="shared" si="46"/>
      </c>
      <c r="X85" s="3">
        <f t="shared" si="47"/>
      </c>
      <c r="Y85" s="191">
        <f t="shared" si="39"/>
      </c>
      <c r="Z85" s="1">
        <f t="shared" si="40"/>
      </c>
      <c r="AA85" s="192">
        <f>IF(D85&gt;$P$99,"",IF(D85=$P$99,1,(AA86-SUM(AA86:$AA$99)*((T85+W85)*Z85-(T86+W86)*Z86))/(1+(T85+W85)*Z85)))</f>
      </c>
      <c r="AB85" s="191">
        <f t="shared" si="41"/>
      </c>
    </row>
    <row r="86" spans="1:28" ht="12.75" hidden="1">
      <c r="A86" s="22">
        <v>73</v>
      </c>
      <c r="B86" s="24">
        <f t="shared" si="48"/>
      </c>
      <c r="C86" s="25">
        <f t="shared" si="42"/>
      </c>
      <c r="D86" s="25">
        <f t="shared" si="33"/>
      </c>
      <c r="E86" s="27">
        <f t="shared" si="43"/>
      </c>
      <c r="F86" s="337">
        <f t="shared" si="34"/>
      </c>
      <c r="G86" s="337">
        <f t="shared" si="35"/>
      </c>
      <c r="H86" s="338">
        <f t="shared" si="31"/>
      </c>
      <c r="I86" s="28" t="e">
        <f t="shared" si="29"/>
        <v>#VALUE!</v>
      </c>
      <c r="J86" s="28" t="e">
        <f t="shared" si="30"/>
        <v>#VALUE!</v>
      </c>
      <c r="L86" s="1">
        <f t="shared" si="36"/>
        <v>0</v>
      </c>
      <c r="O86" s="318">
        <f t="shared" si="37"/>
        <v>0</v>
      </c>
      <c r="P86" s="28">
        <f t="shared" si="32"/>
        <v>0</v>
      </c>
      <c r="T86" s="3">
        <f t="shared" si="44"/>
      </c>
      <c r="U86" s="3">
        <f t="shared" si="45"/>
      </c>
      <c r="V86" s="191">
        <f t="shared" si="38"/>
      </c>
      <c r="W86" s="3">
        <f t="shared" si="46"/>
      </c>
      <c r="X86" s="3">
        <f t="shared" si="47"/>
      </c>
      <c r="Y86" s="191">
        <f t="shared" si="39"/>
      </c>
      <c r="Z86" s="1">
        <f t="shared" si="40"/>
      </c>
      <c r="AA86" s="192">
        <f>IF(D86&gt;$P$99,"",IF(D86=$P$99,1,(AA87-SUM(AA87:$AA$99)*((T86+W86)*Z86-(T87+W87)*Z87))/(1+(T86+W86)*Z86)))</f>
      </c>
      <c r="AB86" s="191">
        <f t="shared" si="41"/>
      </c>
    </row>
    <row r="87" spans="1:28" ht="12.75" hidden="1">
      <c r="A87" s="22">
        <v>74</v>
      </c>
      <c r="B87" s="24">
        <f t="shared" si="48"/>
      </c>
      <c r="C87" s="25">
        <f t="shared" si="42"/>
      </c>
      <c r="D87" s="25">
        <f t="shared" si="33"/>
      </c>
      <c r="E87" s="27">
        <f t="shared" si="43"/>
      </c>
      <c r="F87" s="337">
        <f t="shared" si="34"/>
      </c>
      <c r="G87" s="337">
        <f t="shared" si="35"/>
      </c>
      <c r="H87" s="338">
        <f t="shared" si="31"/>
      </c>
      <c r="I87" s="28" t="e">
        <f t="shared" si="29"/>
        <v>#VALUE!</v>
      </c>
      <c r="J87" s="28" t="e">
        <f t="shared" si="30"/>
        <v>#VALUE!</v>
      </c>
      <c r="L87" s="1">
        <f t="shared" si="36"/>
        <v>0</v>
      </c>
      <c r="O87" s="318">
        <f t="shared" si="37"/>
        <v>0</v>
      </c>
      <c r="P87" s="28">
        <f t="shared" si="32"/>
        <v>0</v>
      </c>
      <c r="T87" s="3">
        <f t="shared" si="44"/>
      </c>
      <c r="U87" s="3">
        <f t="shared" si="45"/>
      </c>
      <c r="V87" s="191">
        <f t="shared" si="38"/>
      </c>
      <c r="W87" s="3">
        <f t="shared" si="46"/>
      </c>
      <c r="X87" s="3">
        <f t="shared" si="47"/>
      </c>
      <c r="Y87" s="191">
        <f t="shared" si="39"/>
      </c>
      <c r="Z87" s="1">
        <f t="shared" si="40"/>
      </c>
      <c r="AA87" s="192">
        <f>IF(D87&gt;$P$99,"",IF(D87=$P$99,1,(AA88-SUM(AA88:$AA$99)*((T87+W87)*Z87-(T88+W88)*Z88))/(1+(T87+W87)*Z87)))</f>
      </c>
      <c r="AB87" s="191">
        <f t="shared" si="41"/>
      </c>
    </row>
    <row r="88" spans="1:28" ht="12.75" hidden="1">
      <c r="A88" s="22">
        <v>75</v>
      </c>
      <c r="B88" s="24">
        <f t="shared" si="48"/>
      </c>
      <c r="C88" s="25">
        <f t="shared" si="42"/>
      </c>
      <c r="D88" s="25">
        <f t="shared" si="33"/>
      </c>
      <c r="E88" s="27">
        <f t="shared" si="43"/>
      </c>
      <c r="F88" s="337">
        <f t="shared" si="34"/>
      </c>
      <c r="G88" s="337">
        <f t="shared" si="35"/>
      </c>
      <c r="H88" s="338">
        <f t="shared" si="31"/>
      </c>
      <c r="I88" s="28" t="e">
        <f t="shared" si="29"/>
        <v>#VALUE!</v>
      </c>
      <c r="J88" s="28" t="e">
        <f t="shared" si="30"/>
        <v>#VALUE!</v>
      </c>
      <c r="L88" s="1">
        <f t="shared" si="36"/>
        <v>0</v>
      </c>
      <c r="O88" s="318">
        <f t="shared" si="37"/>
        <v>0</v>
      </c>
      <c r="P88" s="28">
        <f t="shared" si="32"/>
        <v>0</v>
      </c>
      <c r="T88" s="3">
        <f t="shared" si="44"/>
      </c>
      <c r="U88" s="3">
        <f t="shared" si="45"/>
      </c>
      <c r="V88" s="191">
        <f t="shared" si="38"/>
      </c>
      <c r="W88" s="3">
        <f t="shared" si="46"/>
      </c>
      <c r="X88" s="3">
        <f t="shared" si="47"/>
      </c>
      <c r="Y88" s="191">
        <f t="shared" si="39"/>
      </c>
      <c r="Z88" s="1">
        <f t="shared" si="40"/>
      </c>
      <c r="AA88" s="192">
        <f>IF(D88&gt;$P$99,"",IF(D88=$P$99,1,(AA89-SUM(AA89:$AA$99)*((T88+W88)*Z88-(T89+W89)*Z89))/(1+(T88+W88)*Z88)))</f>
      </c>
      <c r="AB88" s="191">
        <f t="shared" si="41"/>
      </c>
    </row>
    <row r="89" spans="1:28" ht="12.75" hidden="1">
      <c r="A89" s="22">
        <v>76</v>
      </c>
      <c r="B89" s="24">
        <f t="shared" si="48"/>
      </c>
      <c r="C89" s="25">
        <f t="shared" si="42"/>
      </c>
      <c r="D89" s="25">
        <f t="shared" si="33"/>
      </c>
      <c r="E89" s="27">
        <f t="shared" si="43"/>
      </c>
      <c r="F89" s="337">
        <f t="shared" si="34"/>
      </c>
      <c r="G89" s="337">
        <f t="shared" si="35"/>
      </c>
      <c r="H89" s="338">
        <f t="shared" si="31"/>
      </c>
      <c r="I89" s="28" t="e">
        <f t="shared" si="29"/>
        <v>#VALUE!</v>
      </c>
      <c r="J89" s="28" t="e">
        <f t="shared" si="30"/>
        <v>#VALUE!</v>
      </c>
      <c r="L89" s="1">
        <f t="shared" si="36"/>
        <v>0</v>
      </c>
      <c r="O89" s="318">
        <f t="shared" si="37"/>
        <v>0</v>
      </c>
      <c r="P89" s="28">
        <f t="shared" si="32"/>
        <v>0</v>
      </c>
      <c r="T89" s="3">
        <f t="shared" si="44"/>
      </c>
      <c r="U89" s="3">
        <f t="shared" si="45"/>
      </c>
      <c r="V89" s="191">
        <f t="shared" si="38"/>
      </c>
      <c r="W89" s="3">
        <f t="shared" si="46"/>
      </c>
      <c r="X89" s="3">
        <f t="shared" si="47"/>
      </c>
      <c r="Y89" s="191">
        <f t="shared" si="39"/>
      </c>
      <c r="Z89" s="1">
        <f t="shared" si="40"/>
      </c>
      <c r="AA89" s="192">
        <f>IF(D89&gt;$P$99,"",IF(D89=$P$99,1,(AA90-SUM(AA90:$AA$99)*((T89+W89)*Z89-(T90+W90)*Z90))/(1+(T89+W89)*Z89)))</f>
      </c>
      <c r="AB89" s="191">
        <f t="shared" si="41"/>
      </c>
    </row>
    <row r="90" spans="1:28" ht="12.75" hidden="1">
      <c r="A90" s="22">
        <v>77</v>
      </c>
      <c r="B90" s="24">
        <f t="shared" si="48"/>
      </c>
      <c r="C90" s="25">
        <f t="shared" si="42"/>
      </c>
      <c r="D90" s="25">
        <f t="shared" si="33"/>
      </c>
      <c r="E90" s="27">
        <f t="shared" si="43"/>
      </c>
      <c r="F90" s="337">
        <f t="shared" si="34"/>
      </c>
      <c r="G90" s="337">
        <f t="shared" si="35"/>
      </c>
      <c r="H90" s="338">
        <f t="shared" si="31"/>
      </c>
      <c r="I90" s="28" t="e">
        <f t="shared" si="29"/>
        <v>#VALUE!</v>
      </c>
      <c r="J90" s="28" t="e">
        <f t="shared" si="30"/>
        <v>#VALUE!</v>
      </c>
      <c r="L90" s="1">
        <f t="shared" si="36"/>
        <v>0</v>
      </c>
      <c r="O90" s="318">
        <f t="shared" si="37"/>
        <v>0</v>
      </c>
      <c r="P90" s="28">
        <f t="shared" si="32"/>
        <v>0</v>
      </c>
      <c r="T90" s="3">
        <f t="shared" si="44"/>
      </c>
      <c r="U90" s="3">
        <f t="shared" si="45"/>
      </c>
      <c r="V90" s="191">
        <f t="shared" si="38"/>
      </c>
      <c r="W90" s="3">
        <f t="shared" si="46"/>
      </c>
      <c r="X90" s="3">
        <f t="shared" si="47"/>
      </c>
      <c r="Y90" s="191">
        <f t="shared" si="39"/>
      </c>
      <c r="Z90" s="1">
        <f t="shared" si="40"/>
      </c>
      <c r="AA90" s="192">
        <f>IF(D90&gt;$P$99,"",IF(D90=$P$99,1,(AA91-SUM(AA91:$AA$99)*((T90+W90)*Z90-(T91+W91)*Z91))/(1+(T90+W90)*Z90)))</f>
      </c>
      <c r="AB90" s="191">
        <f t="shared" si="41"/>
      </c>
    </row>
    <row r="91" spans="1:28" ht="12.75" hidden="1">
      <c r="A91" s="22">
        <v>78</v>
      </c>
      <c r="B91" s="24">
        <f t="shared" si="48"/>
      </c>
      <c r="C91" s="25">
        <f t="shared" si="42"/>
      </c>
      <c r="D91" s="25">
        <f t="shared" si="33"/>
      </c>
      <c r="E91" s="27">
        <f t="shared" si="43"/>
      </c>
      <c r="F91" s="337">
        <f t="shared" si="34"/>
      </c>
      <c r="G91" s="337">
        <f t="shared" si="35"/>
      </c>
      <c r="H91" s="338">
        <f t="shared" si="31"/>
      </c>
      <c r="I91" s="28" t="e">
        <f t="shared" si="29"/>
        <v>#VALUE!</v>
      </c>
      <c r="J91" s="28" t="e">
        <f t="shared" si="30"/>
        <v>#VALUE!</v>
      </c>
      <c r="L91" s="1">
        <f t="shared" si="36"/>
        <v>0</v>
      </c>
      <c r="O91" s="318">
        <f t="shared" si="37"/>
        <v>0</v>
      </c>
      <c r="P91" s="28">
        <f t="shared" si="32"/>
        <v>0</v>
      </c>
      <c r="T91" s="3">
        <f t="shared" si="44"/>
      </c>
      <c r="U91" s="3">
        <f t="shared" si="45"/>
      </c>
      <c r="V91" s="191">
        <f t="shared" si="38"/>
      </c>
      <c r="W91" s="3">
        <f t="shared" si="46"/>
      </c>
      <c r="X91" s="3">
        <f t="shared" si="47"/>
      </c>
      <c r="Y91" s="191">
        <f t="shared" si="39"/>
      </c>
      <c r="Z91" s="1">
        <f t="shared" si="40"/>
      </c>
      <c r="AA91" s="192">
        <f>IF(D91&gt;$P$99,"",IF(D91=$P$99,1,(AA92-SUM(AA92:$AA$99)*((T91+W91)*Z91-(T92+W92)*Z92))/(1+(T91+W91)*Z91)))</f>
      </c>
      <c r="AB91" s="191">
        <f t="shared" si="41"/>
      </c>
    </row>
    <row r="92" spans="1:28" ht="12.75" hidden="1">
      <c r="A92" s="22">
        <v>79</v>
      </c>
      <c r="B92" s="24">
        <f t="shared" si="48"/>
      </c>
      <c r="C92" s="25">
        <f t="shared" si="42"/>
      </c>
      <c r="D92" s="25">
        <f t="shared" si="33"/>
      </c>
      <c r="E92" s="27">
        <f t="shared" si="43"/>
      </c>
      <c r="F92" s="337">
        <f t="shared" si="34"/>
      </c>
      <c r="G92" s="337">
        <f t="shared" si="35"/>
      </c>
      <c r="H92" s="338">
        <f t="shared" si="31"/>
      </c>
      <c r="I92" s="28" t="e">
        <f t="shared" si="29"/>
        <v>#VALUE!</v>
      </c>
      <c r="J92" s="28" t="e">
        <f t="shared" si="30"/>
        <v>#VALUE!</v>
      </c>
      <c r="L92" s="1">
        <f t="shared" si="36"/>
        <v>0</v>
      </c>
      <c r="O92" s="318">
        <f t="shared" si="37"/>
        <v>0</v>
      </c>
      <c r="P92" s="28">
        <f t="shared" si="32"/>
        <v>0</v>
      </c>
      <c r="T92" s="3">
        <f t="shared" si="44"/>
      </c>
      <c r="U92" s="3">
        <f t="shared" si="45"/>
      </c>
      <c r="V92" s="191">
        <f t="shared" si="38"/>
      </c>
      <c r="W92" s="3">
        <f t="shared" si="46"/>
      </c>
      <c r="X92" s="3">
        <f t="shared" si="47"/>
      </c>
      <c r="Y92" s="191">
        <f t="shared" si="39"/>
      </c>
      <c r="Z92" s="1">
        <f t="shared" si="40"/>
      </c>
      <c r="AA92" s="192">
        <f>IF(D92&gt;$P$99,"",IF(D92=$P$99,1,(AA93-SUM(AA93:$AA$99)*((T92+W92)*Z92-(T93+W93)*Z93))/(1+(T92+W92)*Z92)))</f>
      </c>
      <c r="AB92" s="191">
        <f t="shared" si="41"/>
      </c>
    </row>
    <row r="93" spans="1:28" ht="12.75" hidden="1">
      <c r="A93" s="22">
        <v>80</v>
      </c>
      <c r="B93" s="24">
        <f t="shared" si="48"/>
      </c>
      <c r="C93" s="25">
        <f t="shared" si="42"/>
      </c>
      <c r="D93" s="25">
        <f t="shared" si="33"/>
      </c>
      <c r="E93" s="27">
        <f t="shared" si="43"/>
      </c>
      <c r="F93" s="337">
        <f t="shared" si="34"/>
      </c>
      <c r="G93" s="337">
        <f t="shared" si="35"/>
      </c>
      <c r="H93" s="338">
        <f t="shared" si="31"/>
      </c>
      <c r="I93" s="28" t="e">
        <f t="shared" si="29"/>
        <v>#VALUE!</v>
      </c>
      <c r="J93" s="28" t="e">
        <f t="shared" si="30"/>
        <v>#VALUE!</v>
      </c>
      <c r="L93" s="1">
        <f t="shared" si="36"/>
        <v>0</v>
      </c>
      <c r="O93" s="318">
        <f t="shared" si="37"/>
        <v>0</v>
      </c>
      <c r="P93" s="28">
        <f t="shared" si="32"/>
        <v>0</v>
      </c>
      <c r="T93" s="3">
        <f t="shared" si="44"/>
      </c>
      <c r="U93" s="3">
        <f t="shared" si="45"/>
      </c>
      <c r="V93" s="191">
        <f t="shared" si="38"/>
      </c>
      <c r="W93" s="3">
        <f t="shared" si="46"/>
      </c>
      <c r="X93" s="3">
        <f t="shared" si="47"/>
      </c>
      <c r="Y93" s="191">
        <f t="shared" si="39"/>
      </c>
      <c r="Z93" s="1">
        <f t="shared" si="40"/>
      </c>
      <c r="AA93" s="192">
        <f>IF(D93&gt;$P$99,"",IF(D93=$P$99,1,(AA94-SUM(AA94:$AA$99)*((T93+W93)*Z93-(T94+W94)*Z94))/(1+(T93+W93)*Z93)))</f>
      </c>
      <c r="AB93" s="191">
        <f t="shared" si="41"/>
      </c>
    </row>
    <row r="94" spans="1:28" ht="12.75" hidden="1">
      <c r="A94" s="22">
        <v>81</v>
      </c>
      <c r="B94" s="24">
        <f t="shared" si="48"/>
      </c>
      <c r="C94" s="25">
        <f t="shared" si="42"/>
      </c>
      <c r="D94" s="25">
        <f t="shared" si="33"/>
      </c>
      <c r="E94" s="27">
        <f t="shared" si="43"/>
      </c>
      <c r="F94" s="337">
        <f t="shared" si="34"/>
      </c>
      <c r="G94" s="337">
        <f t="shared" si="35"/>
      </c>
      <c r="H94" s="338">
        <f t="shared" si="31"/>
      </c>
      <c r="I94" s="28" t="e">
        <f t="shared" si="29"/>
        <v>#VALUE!</v>
      </c>
      <c r="J94" s="28" t="e">
        <f t="shared" si="30"/>
        <v>#VALUE!</v>
      </c>
      <c r="L94" s="1">
        <f t="shared" si="36"/>
        <v>0</v>
      </c>
      <c r="O94" s="318">
        <f t="shared" si="37"/>
        <v>0</v>
      </c>
      <c r="P94" s="28">
        <f t="shared" si="32"/>
        <v>0</v>
      </c>
      <c r="T94" s="3">
        <f t="shared" si="44"/>
      </c>
      <c r="U94" s="3">
        <f t="shared" si="45"/>
      </c>
      <c r="V94" s="191">
        <f t="shared" si="38"/>
      </c>
      <c r="W94" s="3">
        <f t="shared" si="46"/>
      </c>
      <c r="X94" s="3">
        <f t="shared" si="47"/>
      </c>
      <c r="Y94" s="191">
        <f t="shared" si="39"/>
      </c>
      <c r="Z94" s="1">
        <f t="shared" si="40"/>
      </c>
      <c r="AA94" s="192">
        <f>IF(D94&gt;$P$99,"",IF(D94=$P$99,1,(AA95-SUM(AA95:$AA$99)*((T94+W94)*Z94-(T95+W95)*Z95))/(1+(T94+W94)*Z94)))</f>
      </c>
      <c r="AB94" s="191">
        <f t="shared" si="41"/>
      </c>
    </row>
    <row r="95" spans="1:28" ht="12.75" hidden="1">
      <c r="A95" s="22">
        <v>82</v>
      </c>
      <c r="B95" s="24">
        <f t="shared" si="48"/>
      </c>
      <c r="C95" s="25">
        <f t="shared" si="42"/>
      </c>
      <c r="D95" s="25">
        <f t="shared" si="33"/>
      </c>
      <c r="E95" s="27">
        <f t="shared" si="43"/>
      </c>
      <c r="F95" s="337">
        <f t="shared" si="34"/>
      </c>
      <c r="G95" s="337">
        <f t="shared" si="35"/>
      </c>
      <c r="H95" s="338">
        <f t="shared" si="31"/>
      </c>
      <c r="I95" s="28" t="e">
        <f t="shared" si="29"/>
        <v>#VALUE!</v>
      </c>
      <c r="J95" s="28" t="e">
        <f t="shared" si="30"/>
        <v>#VALUE!</v>
      </c>
      <c r="L95" s="1">
        <f t="shared" si="36"/>
        <v>0</v>
      </c>
      <c r="O95" s="318">
        <f t="shared" si="37"/>
        <v>0</v>
      </c>
      <c r="P95" s="28">
        <f t="shared" si="32"/>
        <v>0</v>
      </c>
      <c r="T95" s="3">
        <f t="shared" si="44"/>
      </c>
      <c r="U95" s="3">
        <f t="shared" si="45"/>
      </c>
      <c r="V95" s="191">
        <f t="shared" si="38"/>
      </c>
      <c r="W95" s="3">
        <f t="shared" si="46"/>
      </c>
      <c r="X95" s="3">
        <f t="shared" si="47"/>
      </c>
      <c r="Y95" s="191">
        <f t="shared" si="39"/>
      </c>
      <c r="Z95" s="1">
        <f t="shared" si="40"/>
      </c>
      <c r="AA95" s="192">
        <f>IF(D95&gt;$P$99,"",IF(D95=$P$99,1,(AA96-SUM(AA96:$AA$99)*((T95+W95)*Z95-(T96+W96)*Z96))/(1+(T95+W95)*Z95)))</f>
      </c>
      <c r="AB95" s="191">
        <f t="shared" si="41"/>
      </c>
    </row>
    <row r="96" spans="1:28" ht="12.75" hidden="1">
      <c r="A96" s="22">
        <v>83</v>
      </c>
      <c r="B96" s="24">
        <f t="shared" si="48"/>
      </c>
      <c r="C96" s="25">
        <f t="shared" si="42"/>
      </c>
      <c r="D96" s="25">
        <f t="shared" si="33"/>
      </c>
      <c r="E96" s="27">
        <f t="shared" si="43"/>
      </c>
      <c r="F96" s="337">
        <f t="shared" si="34"/>
      </c>
      <c r="G96" s="337">
        <f t="shared" si="35"/>
      </c>
      <c r="H96" s="338">
        <f t="shared" si="31"/>
      </c>
      <c r="I96" s="28" t="e">
        <f t="shared" si="29"/>
        <v>#VALUE!</v>
      </c>
      <c r="J96" s="28" t="e">
        <f t="shared" si="30"/>
        <v>#VALUE!</v>
      </c>
      <c r="L96" s="1">
        <f t="shared" si="36"/>
        <v>0</v>
      </c>
      <c r="O96" s="318">
        <f t="shared" si="37"/>
        <v>0</v>
      </c>
      <c r="P96" s="28">
        <f t="shared" si="32"/>
        <v>0</v>
      </c>
      <c r="T96" s="3">
        <f t="shared" si="44"/>
      </c>
      <c r="U96" s="3">
        <f t="shared" si="45"/>
      </c>
      <c r="V96" s="191">
        <f t="shared" si="38"/>
      </c>
      <c r="W96" s="3">
        <f t="shared" si="46"/>
      </c>
      <c r="X96" s="3">
        <f t="shared" si="47"/>
      </c>
      <c r="Y96" s="191">
        <f t="shared" si="39"/>
      </c>
      <c r="Z96" s="1">
        <f t="shared" si="40"/>
      </c>
      <c r="AA96" s="192">
        <f>IF(D96&gt;$P$99,"",IF(D96=$P$99,1,(AA97-SUM(AA97:$AA$99)*((T96+W96)*Z96-(T97+W97)*Z97))/(1+(T96+W96)*Z96)))</f>
      </c>
      <c r="AB96" s="191">
        <f t="shared" si="41"/>
      </c>
    </row>
    <row r="97" spans="1:28" ht="12.75" hidden="1">
      <c r="A97" s="22">
        <v>84</v>
      </c>
      <c r="B97" s="24">
        <f t="shared" si="48"/>
      </c>
      <c r="C97" s="25">
        <f t="shared" si="42"/>
      </c>
      <c r="D97" s="25">
        <f t="shared" si="33"/>
      </c>
      <c r="E97" s="27">
        <f t="shared" si="43"/>
      </c>
      <c r="F97" s="337">
        <f t="shared" si="34"/>
      </c>
      <c r="G97" s="337">
        <f t="shared" si="35"/>
      </c>
      <c r="H97" s="338">
        <f t="shared" si="31"/>
      </c>
      <c r="I97" s="28" t="e">
        <f t="shared" si="29"/>
        <v>#VALUE!</v>
      </c>
      <c r="J97" s="28" t="e">
        <f t="shared" si="30"/>
        <v>#VALUE!</v>
      </c>
      <c r="L97" s="1">
        <f t="shared" si="36"/>
        <v>0</v>
      </c>
      <c r="O97" s="318">
        <f t="shared" si="37"/>
        <v>0</v>
      </c>
      <c r="P97" s="28">
        <f t="shared" si="32"/>
        <v>0</v>
      </c>
      <c r="T97" s="3">
        <f t="shared" si="44"/>
      </c>
      <c r="U97" s="3">
        <f t="shared" si="45"/>
      </c>
      <c r="V97" s="191">
        <f t="shared" si="38"/>
      </c>
      <c r="W97" s="3">
        <f t="shared" si="46"/>
      </c>
      <c r="X97" s="3">
        <f t="shared" si="47"/>
      </c>
      <c r="Y97" s="191">
        <f t="shared" si="39"/>
      </c>
      <c r="Z97" s="1">
        <f t="shared" si="40"/>
      </c>
      <c r="AA97" s="192">
        <f>IF(D97&gt;$P$99,"",IF(D97=$P$99,1,(AA98-SUM(AA98:$AA$99)*((T97+W97)*Z97-(T98+W98)*Z98))/(1+(T97+W97)*Z97)))</f>
      </c>
      <c r="AB97" s="191">
        <f t="shared" si="41"/>
      </c>
    </row>
    <row r="98" spans="1:28" ht="12.75" hidden="1">
      <c r="A98" s="22">
        <v>85</v>
      </c>
      <c r="B98" s="24">
        <f t="shared" si="48"/>
      </c>
      <c r="C98" s="25">
        <f t="shared" si="42"/>
      </c>
      <c r="D98" s="25">
        <f t="shared" si="33"/>
      </c>
      <c r="E98" s="27">
        <f t="shared" si="43"/>
      </c>
      <c r="F98" s="337">
        <f t="shared" si="34"/>
      </c>
      <c r="G98" s="337">
        <f t="shared" si="35"/>
      </c>
      <c r="H98" s="338">
        <f t="shared" si="31"/>
      </c>
      <c r="I98" s="28" t="e">
        <f t="shared" si="29"/>
        <v>#VALUE!</v>
      </c>
      <c r="J98" s="28" t="e">
        <f t="shared" si="30"/>
        <v>#VALUE!</v>
      </c>
      <c r="L98" s="1">
        <f t="shared" si="36"/>
        <v>0</v>
      </c>
      <c r="O98" s="318">
        <f>IF(AND(D98&lt;&gt;"",D99="",D100=""),1,IF(AND(D98="",D99="",E100=""),0,0))</f>
        <v>0</v>
      </c>
      <c r="P98" s="28">
        <f t="shared" si="32"/>
        <v>0</v>
      </c>
      <c r="T98" s="3">
        <f t="shared" si="44"/>
      </c>
      <c r="U98" s="3">
        <f t="shared" si="45"/>
      </c>
      <c r="V98" s="191">
        <f t="shared" si="38"/>
      </c>
      <c r="W98" s="3">
        <f t="shared" si="46"/>
      </c>
      <c r="X98" s="3">
        <f t="shared" si="47"/>
      </c>
      <c r="Y98" s="191">
        <f t="shared" si="39"/>
      </c>
      <c r="Z98" s="1">
        <f t="shared" si="40"/>
      </c>
      <c r="AA98" s="192">
        <f>IF(D98&gt;$P$99,"",IF(D98=$P$99,1,(AA99-SUM(AA99:$AA$99)*((T98+W98)*Z98-(T99+W99)*Z99))/(1+(T98+W98)*Z98)))</f>
      </c>
      <c r="AB98" s="191">
        <f t="shared" si="41"/>
      </c>
    </row>
    <row r="99" spans="2:16" ht="12.75">
      <c r="B99" s="1" t="s">
        <v>130</v>
      </c>
      <c r="F99" s="29">
        <f>SUM(F13:F98)</f>
        <v>449999.99999999977</v>
      </c>
      <c r="G99" s="29">
        <f>SUM(G14:G98)</f>
        <v>107484.88536125745</v>
      </c>
      <c r="H99" s="29">
        <f>SUM(H14:H98)</f>
        <v>557484.8853612571</v>
      </c>
      <c r="L99" s="1">
        <f>SUM(L14:L74)</f>
        <v>36</v>
      </c>
      <c r="O99" s="318"/>
      <c r="P99" s="319">
        <f>SUM(P14:P98)</f>
        <v>42027</v>
      </c>
    </row>
    <row r="100" spans="2:8" ht="12.75">
      <c r="B100" s="30"/>
      <c r="E100" s="31"/>
      <c r="F100" s="29"/>
      <c r="G100" s="29"/>
      <c r="H100" s="29"/>
    </row>
    <row r="101" spans="5:8" ht="12.75">
      <c r="E101" s="31"/>
      <c r="F101" s="29"/>
      <c r="G101" s="29"/>
      <c r="H101" s="29"/>
    </row>
    <row r="102" spans="4:8" ht="12.75">
      <c r="D102" s="31"/>
      <c r="F102" s="29"/>
      <c r="G102" s="29"/>
      <c r="H102" s="29"/>
    </row>
    <row r="104" spans="5:6" ht="12.75">
      <c r="E104" s="1"/>
      <c r="F104" s="1"/>
    </row>
    <row r="105" spans="5:6" ht="12.75">
      <c r="E105" s="1"/>
      <c r="F105" s="1"/>
    </row>
    <row r="106" spans="5:6" ht="12.75">
      <c r="E106" s="1"/>
      <c r="F106" s="1"/>
    </row>
    <row r="107" spans="5:6" ht="12.75">
      <c r="E107" s="1"/>
      <c r="F107" s="1"/>
    </row>
    <row r="108" spans="5:6" ht="12.75">
      <c r="E108" s="1"/>
      <c r="F108" s="1"/>
    </row>
    <row r="109" spans="5:6" ht="12.75">
      <c r="E109" s="1"/>
      <c r="F109" s="1"/>
    </row>
    <row r="110" spans="5:6" ht="12.75">
      <c r="E110" s="1"/>
      <c r="F110" s="1"/>
    </row>
    <row r="111" spans="5:6" ht="12.75">
      <c r="E111" s="1"/>
      <c r="F111" s="1"/>
    </row>
    <row r="112" spans="5:6" ht="12.75">
      <c r="E112" s="1"/>
      <c r="F112" s="1"/>
    </row>
    <row r="114" ht="12.75">
      <c r="E114" s="320"/>
    </row>
    <row r="121" ht="12.75">
      <c r="E121" s="1"/>
    </row>
  </sheetData>
  <sheetProtection sheet="1" objects="1" scenarios="1"/>
  <mergeCells count="19">
    <mergeCell ref="T12:T13"/>
    <mergeCell ref="U12:U13"/>
    <mergeCell ref="V12:V13"/>
    <mergeCell ref="A8:B8"/>
    <mergeCell ref="AA12:AA13"/>
    <mergeCell ref="W12:W13"/>
    <mergeCell ref="X12:X13"/>
    <mergeCell ref="Y12:Y13"/>
    <mergeCell ref="Z12:Z13"/>
    <mergeCell ref="F5:H7"/>
    <mergeCell ref="A11:A12"/>
    <mergeCell ref="B11:B12"/>
    <mergeCell ref="C11:D11"/>
    <mergeCell ref="A6:B6"/>
    <mergeCell ref="E11:E12"/>
    <mergeCell ref="F11:F12"/>
    <mergeCell ref="G11:G12"/>
    <mergeCell ref="H11:H12"/>
    <mergeCell ref="A7:B7"/>
  </mergeCells>
  <printOptions/>
  <pageMargins left="0.75" right="0.42" top="0.32" bottom="0.33" header="0.27" footer="0.26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ovfuntikova</cp:lastModifiedBy>
  <cp:lastPrinted>2010-12-22T14:12:40Z</cp:lastPrinted>
  <dcterms:created xsi:type="dcterms:W3CDTF">2008-06-03T10:57:34Z</dcterms:created>
  <dcterms:modified xsi:type="dcterms:W3CDTF">2012-01-26T23:55:12Z</dcterms:modified>
  <cp:category/>
  <cp:version/>
  <cp:contentType/>
  <cp:contentStatus/>
</cp:coreProperties>
</file>